
<file path=[Content_Types].xml><?xml version="1.0" encoding="utf-8"?>
<Types xmlns="http://schemas.openxmlformats.org/package/2006/content-type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Projects\Bridges\15. Project6A\1373L\"/>
    </mc:Choice>
  </mc:AlternateContent>
  <bookViews>
    <workbookView xWindow="0" yWindow="0" windowWidth="8745" windowHeight="6315" tabRatio="749" activeTab="2"/>
  </bookViews>
  <sheets>
    <sheet name="Estimate" sheetId="33" r:id="rId1"/>
    <sheet name="Quantities" sheetId="35" r:id="rId2"/>
    <sheet name="Rdwy Geometry" sheetId="18" r:id="rId3"/>
    <sheet name="Camber" sheetId="45" r:id="rId4"/>
    <sheet name="Topping Thickness" sheetId="46" r:id="rId5"/>
    <sheet name="Slab Elevations (linked)" sheetId="47" r:id="rId6"/>
    <sheet name="Alt 1 - Abutment Pile Loads" sheetId="27" r:id="rId7"/>
  </sheets>
  <definedNames>
    <definedName name="_xlnm.Print_Area" localSheetId="6">'Alt 1 - Abutment Pile Loads'!$A$1:$M$421</definedName>
    <definedName name="_xlnm.Print_Area" localSheetId="0">Estimate!$A$1:$G$33</definedName>
    <definedName name="_xlnm.Print_Area" localSheetId="1">Quantities!$A$1:$I$398</definedName>
    <definedName name="_xlnm.Print_Area" localSheetId="2">'Rdwy Geometry'!$A$1:$AA$258</definedName>
  </definedNames>
  <calcPr calcId="152511"/>
</workbook>
</file>

<file path=xl/calcChain.xml><?xml version="1.0" encoding="utf-8"?>
<calcChain xmlns="http://schemas.openxmlformats.org/spreadsheetml/2006/main">
  <c r="D27" i="18" l="1"/>
  <c r="N142" i="18"/>
  <c r="N134" i="18"/>
  <c r="I145" i="18"/>
  <c r="I134" i="18"/>
  <c r="V171" i="18" l="1"/>
  <c r="V172" i="18"/>
  <c r="V173" i="18"/>
  <c r="V174" i="18"/>
  <c r="V175" i="18"/>
  <c r="V176" i="18"/>
  <c r="V177" i="18"/>
  <c r="R173" i="18"/>
  <c r="R172" i="18"/>
  <c r="R174" i="18"/>
  <c r="R175" i="18"/>
  <c r="R176" i="18"/>
  <c r="R177" i="18"/>
  <c r="R171" i="18"/>
  <c r="I106" i="45"/>
  <c r="H106" i="45"/>
  <c r="G106" i="45"/>
  <c r="F106" i="45"/>
  <c r="E106" i="45"/>
  <c r="I91" i="45"/>
  <c r="H91" i="45"/>
  <c r="G91" i="45"/>
  <c r="F91" i="45"/>
  <c r="E91" i="45"/>
  <c r="G87" i="45"/>
  <c r="G86" i="45"/>
  <c r="I83" i="45"/>
  <c r="H83" i="45"/>
  <c r="G81" i="45"/>
  <c r="I80" i="45"/>
  <c r="H80" i="45"/>
  <c r="G102" i="45"/>
  <c r="G101" i="45"/>
  <c r="I99" i="45"/>
  <c r="G96" i="45"/>
  <c r="I95" i="45"/>
  <c r="H95" i="45"/>
  <c r="C13" i="18" l="1"/>
  <c r="D26" i="18" s="1"/>
  <c r="M161" i="18" l="1"/>
  <c r="L161" i="18"/>
  <c r="M160" i="18"/>
  <c r="L160" i="18"/>
  <c r="M159" i="18"/>
  <c r="L159" i="18"/>
  <c r="G44" i="47"/>
  <c r="F44" i="47"/>
  <c r="E44" i="47"/>
  <c r="D44" i="47"/>
  <c r="C44" i="47"/>
  <c r="G41" i="47"/>
  <c r="F41" i="47"/>
  <c r="E41" i="47"/>
  <c r="D41" i="47"/>
  <c r="C41" i="47"/>
  <c r="G38" i="47"/>
  <c r="F38" i="47"/>
  <c r="E38" i="47"/>
  <c r="D38" i="47"/>
  <c r="C38" i="47"/>
  <c r="G35" i="47"/>
  <c r="F35" i="47"/>
  <c r="E35" i="47"/>
  <c r="D35" i="47"/>
  <c r="C35" i="47"/>
  <c r="G32" i="47"/>
  <c r="F32" i="47"/>
  <c r="E32" i="47"/>
  <c r="D32" i="47"/>
  <c r="C32" i="47"/>
  <c r="G29" i="47"/>
  <c r="F29" i="47"/>
  <c r="E29" i="47"/>
  <c r="D29" i="47"/>
  <c r="C29" i="47"/>
  <c r="G26" i="47"/>
  <c r="F26" i="47"/>
  <c r="E26" i="47"/>
  <c r="D26" i="47"/>
  <c r="C26" i="47"/>
  <c r="G23" i="47"/>
  <c r="F23" i="47"/>
  <c r="E23" i="47"/>
  <c r="D23" i="47"/>
  <c r="C23" i="47"/>
  <c r="G20" i="47"/>
  <c r="F20" i="47"/>
  <c r="E20" i="47"/>
  <c r="D20" i="47"/>
  <c r="C20" i="47"/>
  <c r="G17" i="47"/>
  <c r="F17" i="47"/>
  <c r="E17" i="47"/>
  <c r="D17" i="47"/>
  <c r="C17" i="47"/>
  <c r="G14" i="47"/>
  <c r="F14" i="47"/>
  <c r="E14" i="47"/>
  <c r="D14" i="47"/>
  <c r="C14" i="47"/>
  <c r="C161" i="18"/>
  <c r="C160" i="18"/>
  <c r="C159" i="18"/>
  <c r="B161" i="18"/>
  <c r="B160" i="18"/>
  <c r="B159" i="18"/>
  <c r="C35" i="46" l="1"/>
  <c r="C36" i="46"/>
  <c r="C34" i="46"/>
  <c r="C33" i="46"/>
  <c r="C32" i="46"/>
  <c r="I66" i="46"/>
  <c r="C66" i="46"/>
  <c r="I65" i="46"/>
  <c r="C65" i="46"/>
  <c r="I64" i="46"/>
  <c r="C64" i="46"/>
  <c r="I63" i="46"/>
  <c r="C63" i="46"/>
  <c r="I62" i="46"/>
  <c r="C62" i="46"/>
  <c r="I61" i="46"/>
  <c r="C61" i="46"/>
  <c r="I60" i="46"/>
  <c r="C60" i="46"/>
  <c r="I59" i="46"/>
  <c r="C59" i="46"/>
  <c r="I58" i="46"/>
  <c r="C58" i="46"/>
  <c r="I57" i="46"/>
  <c r="C57" i="46"/>
  <c r="I56" i="46"/>
  <c r="C56" i="46"/>
  <c r="I55" i="46"/>
  <c r="C55" i="46"/>
  <c r="I54" i="46"/>
  <c r="C54" i="46"/>
  <c r="I53" i="46"/>
  <c r="C53" i="46"/>
  <c r="I52" i="46"/>
  <c r="C52" i="46"/>
  <c r="I51" i="46"/>
  <c r="C51" i="46"/>
  <c r="I50" i="46"/>
  <c r="C50" i="46"/>
  <c r="I49" i="46"/>
  <c r="C49" i="46"/>
  <c r="I48" i="46"/>
  <c r="C48" i="46"/>
  <c r="I47" i="46"/>
  <c r="C47" i="46"/>
  <c r="I46" i="46"/>
  <c r="C46" i="46"/>
  <c r="I45" i="46"/>
  <c r="C45" i="46"/>
  <c r="I44" i="46"/>
  <c r="C44" i="46"/>
  <c r="I43" i="46"/>
  <c r="C43" i="46"/>
  <c r="I42" i="46"/>
  <c r="C42" i="46"/>
  <c r="I41" i="46"/>
  <c r="C41" i="46"/>
  <c r="I40" i="46"/>
  <c r="C40" i="46"/>
  <c r="I39" i="46"/>
  <c r="C39" i="46"/>
  <c r="I38" i="46"/>
  <c r="C38" i="46"/>
  <c r="I37" i="46"/>
  <c r="C37" i="46"/>
  <c r="I36" i="46"/>
  <c r="I35" i="46"/>
  <c r="I34" i="46"/>
  <c r="I33" i="46"/>
  <c r="I32" i="46"/>
  <c r="C25" i="46"/>
  <c r="C24" i="46"/>
  <c r="C73" i="45"/>
  <c r="H65" i="45"/>
  <c r="H64" i="45"/>
  <c r="H63" i="45"/>
  <c r="H62" i="45"/>
  <c r="I62" i="45" s="1"/>
  <c r="D54" i="46" l="1"/>
  <c r="D55" i="46"/>
  <c r="D33" i="46"/>
  <c r="D34" i="46"/>
  <c r="D61" i="46"/>
  <c r="D41" i="46"/>
  <c r="D49" i="46"/>
  <c r="D60" i="46"/>
  <c r="D40" i="46"/>
  <c r="D48" i="46"/>
  <c r="D43" i="46"/>
  <c r="D63" i="46"/>
  <c r="D53" i="46"/>
  <c r="D38" i="46"/>
  <c r="D39" i="46"/>
  <c r="D46" i="46"/>
  <c r="D51" i="46"/>
  <c r="D58" i="46"/>
  <c r="D59" i="46"/>
  <c r="D66" i="46"/>
  <c r="D44" i="46"/>
  <c r="D45" i="46"/>
  <c r="D50" i="46"/>
  <c r="D64" i="46"/>
  <c r="D65" i="46"/>
  <c r="D35" i="46"/>
  <c r="D36" i="46"/>
  <c r="D56" i="46"/>
  <c r="B63" i="45"/>
  <c r="D67" i="45" s="1"/>
  <c r="C74" i="45" s="1"/>
  <c r="B64" i="45"/>
  <c r="H171" i="18" l="1"/>
  <c r="I156" i="18"/>
  <c r="G249" i="18" s="1"/>
  <c r="I155" i="18"/>
  <c r="G248" i="18" s="1"/>
  <c r="I154" i="18"/>
  <c r="G247" i="18" s="1"/>
  <c r="I153" i="18"/>
  <c r="G246" i="18" s="1"/>
  <c r="I152" i="18"/>
  <c r="G245" i="18" s="1"/>
  <c r="I151" i="18"/>
  <c r="G244" i="18" s="1"/>
  <c r="I144" i="18"/>
  <c r="G231" i="18" s="1"/>
  <c r="I143" i="18"/>
  <c r="G230" i="18" s="1"/>
  <c r="I142" i="18"/>
  <c r="G229" i="18" s="1"/>
  <c r="I141" i="18"/>
  <c r="G228" i="18" s="1"/>
  <c r="I140" i="18"/>
  <c r="G227" i="18" s="1"/>
  <c r="I139" i="18"/>
  <c r="G226" i="18" s="1"/>
  <c r="I133" i="18"/>
  <c r="I214" i="18" s="1"/>
  <c r="D148" i="18"/>
  <c r="D147" i="18"/>
  <c r="D136" i="18"/>
  <c r="N140" i="18" l="1"/>
  <c r="N141" i="18"/>
  <c r="N143" i="18"/>
  <c r="N133" i="18"/>
  <c r="N135" i="18"/>
  <c r="N136" i="18"/>
  <c r="N132" i="18"/>
  <c r="D137" i="18"/>
  <c r="D149" i="18"/>
  <c r="D142" i="18"/>
  <c r="I215" i="18"/>
  <c r="I135" i="18"/>
  <c r="I216" i="18" s="1"/>
  <c r="I136" i="18"/>
  <c r="I217" i="18" s="1"/>
  <c r="I137" i="18"/>
  <c r="I218" i="18" s="1"/>
  <c r="I138" i="18"/>
  <c r="I219" i="18" s="1"/>
  <c r="I146" i="18"/>
  <c r="I147" i="18"/>
  <c r="I148" i="18"/>
  <c r="I149" i="18"/>
  <c r="I150" i="18"/>
  <c r="I157" i="18"/>
  <c r="I251" i="18" s="1"/>
  <c r="I158" i="18"/>
  <c r="I252" i="18" s="1"/>
  <c r="I159" i="18"/>
  <c r="I253" i="18" s="1"/>
  <c r="I160" i="18"/>
  <c r="I254" i="18" s="1"/>
  <c r="I161" i="18"/>
  <c r="I255" i="18" s="1"/>
  <c r="I162" i="18"/>
  <c r="I256" i="18" s="1"/>
  <c r="I132" i="18"/>
  <c r="G212" i="18" s="1"/>
  <c r="D139" i="18"/>
  <c r="D140" i="18"/>
  <c r="D141" i="18"/>
  <c r="D143" i="18"/>
  <c r="D144" i="18"/>
  <c r="D145" i="18"/>
  <c r="D146" i="18"/>
  <c r="D138" i="18"/>
  <c r="D133" i="18"/>
  <c r="D134" i="18"/>
  <c r="D135" i="18"/>
  <c r="D132" i="18"/>
  <c r="I234" i="18" l="1"/>
  <c r="I237" i="18"/>
  <c r="I236" i="18"/>
  <c r="I238" i="18"/>
  <c r="I233" i="18"/>
  <c r="I235" i="18"/>
  <c r="A203" i="18"/>
  <c r="J270" i="18" l="1"/>
  <c r="K270" i="18" s="1"/>
  <c r="J276" i="18"/>
  <c r="K276" i="18" s="1"/>
  <c r="C75" i="18" l="1"/>
  <c r="C76" i="18"/>
  <c r="H56" i="35" l="1"/>
  <c r="H55" i="35"/>
  <c r="H49" i="35"/>
  <c r="H48" i="35"/>
  <c r="F20" i="33" l="1"/>
  <c r="C31" i="27"/>
  <c r="C24" i="27"/>
  <c r="E16" i="27"/>
  <c r="E13" i="27"/>
  <c r="E11" i="27"/>
  <c r="E10" i="27"/>
  <c r="D369" i="35"/>
  <c r="D368" i="35"/>
  <c r="E17" i="27" s="1"/>
  <c r="D282" i="35"/>
  <c r="D283" i="35" s="1"/>
  <c r="D198" i="35"/>
  <c r="G173" i="35"/>
  <c r="G174" i="35"/>
  <c r="C174" i="35"/>
  <c r="C173" i="35"/>
  <c r="B174" i="35"/>
  <c r="C140" i="35"/>
  <c r="F11" i="18"/>
  <c r="E14" i="27" l="1"/>
  <c r="E15" i="27" s="1"/>
  <c r="C33" i="27" l="1"/>
  <c r="D379" i="35"/>
  <c r="C379" i="35"/>
  <c r="I8" i="27"/>
  <c r="F271" i="27" s="1"/>
  <c r="H8" i="27"/>
  <c r="E271" i="27" s="1"/>
  <c r="B120" i="35"/>
  <c r="B116" i="35"/>
  <c r="B117" i="35"/>
  <c r="C29" i="35"/>
  <c r="C34" i="35" s="1"/>
  <c r="F6" i="33" l="1"/>
  <c r="D250" i="35" l="1"/>
  <c r="D251" i="35" s="1"/>
  <c r="C250" i="35"/>
  <c r="C251" i="35" s="1"/>
  <c r="D243" i="35"/>
  <c r="C243" i="35"/>
  <c r="F49" i="35"/>
  <c r="B49" i="35"/>
  <c r="C64" i="35" s="1"/>
  <c r="D6" i="33"/>
  <c r="D7" i="33"/>
  <c r="D22" i="33"/>
  <c r="B106" i="35"/>
  <c r="B107" i="35"/>
  <c r="B108" i="35"/>
  <c r="B89" i="35"/>
  <c r="B79" i="35"/>
  <c r="D79" i="35"/>
  <c r="F79" i="35"/>
  <c r="D393" i="35"/>
  <c r="C393" i="35"/>
  <c r="B393" i="35"/>
  <c r="B394" i="35"/>
  <c r="E394" i="35"/>
  <c r="E393" i="35"/>
  <c r="E390" i="35"/>
  <c r="B390" i="35"/>
  <c r="B389" i="35"/>
  <c r="E389" i="35"/>
  <c r="E382" i="35"/>
  <c r="B382" i="35"/>
  <c r="E378" i="35"/>
  <c r="E381" i="35"/>
  <c r="D381" i="35"/>
  <c r="B381" i="35"/>
  <c r="C381" i="35"/>
  <c r="C21" i="27" s="1"/>
  <c r="E377" i="35"/>
  <c r="B378" i="35"/>
  <c r="B377" i="35"/>
  <c r="C346" i="35"/>
  <c r="C357" i="35" s="1"/>
  <c r="D357" i="35" s="1"/>
  <c r="E18" i="35" s="1"/>
  <c r="C345" i="35"/>
  <c r="C356" i="35" s="1"/>
  <c r="D356" i="35" s="1"/>
  <c r="D18" i="35" s="1"/>
  <c r="D21" i="33" s="1"/>
  <c r="C310" i="35"/>
  <c r="C311" i="35"/>
  <c r="C312" i="35"/>
  <c r="B309" i="35"/>
  <c r="B310" i="35"/>
  <c r="B311" i="35"/>
  <c r="B312" i="35"/>
  <c r="G305" i="35"/>
  <c r="D304" i="35"/>
  <c r="G304" i="35" s="1"/>
  <c r="D303" i="35"/>
  <c r="G303" i="35" s="1"/>
  <c r="G302" i="35"/>
  <c r="D301" i="35"/>
  <c r="G301" i="35" s="1"/>
  <c r="D300" i="35"/>
  <c r="G300" i="35" s="1"/>
  <c r="G299" i="35"/>
  <c r="B298" i="35"/>
  <c r="G298" i="35" s="1"/>
  <c r="G294" i="35"/>
  <c r="D293" i="35"/>
  <c r="G293" i="35" s="1"/>
  <c r="D292" i="35"/>
  <c r="G292" i="35" s="1"/>
  <c r="G291" i="35"/>
  <c r="D290" i="35"/>
  <c r="G290" i="35" s="1"/>
  <c r="D289" i="35"/>
  <c r="G289" i="35" s="1"/>
  <c r="G288" i="35"/>
  <c r="G287" i="35"/>
  <c r="B268" i="35"/>
  <c r="B269" i="35"/>
  <c r="D245" i="35"/>
  <c r="D246" i="35" s="1"/>
  <c r="D215" i="35"/>
  <c r="D216" i="35" s="1"/>
  <c r="C215" i="35"/>
  <c r="C216" i="35" s="1"/>
  <c r="D230" i="35"/>
  <c r="D221" i="35"/>
  <c r="D200" i="35"/>
  <c r="C234" i="35"/>
  <c r="C245" i="35"/>
  <c r="C230" i="35"/>
  <c r="C221" i="35"/>
  <c r="C200" i="35"/>
  <c r="D189" i="35"/>
  <c r="E189" i="35"/>
  <c r="H189" i="35" s="1"/>
  <c r="E188" i="35"/>
  <c r="H188" i="35" s="1"/>
  <c r="D188" i="35"/>
  <c r="B173" i="35"/>
  <c r="C158" i="35"/>
  <c r="C157" i="35"/>
  <c r="D158" i="35"/>
  <c r="D157" i="35"/>
  <c r="D141" i="35"/>
  <c r="D144" i="35" s="1"/>
  <c r="D154" i="35"/>
  <c r="D134" i="35"/>
  <c r="D149" i="35" s="1"/>
  <c r="E134" i="35"/>
  <c r="E149" i="35" s="1"/>
  <c r="D135" i="35"/>
  <c r="D150" i="35" s="1"/>
  <c r="E135" i="35"/>
  <c r="E150" i="35" s="1"/>
  <c r="C29" i="27" l="1"/>
  <c r="D394" i="35"/>
  <c r="D395" i="35" s="1"/>
  <c r="C120" i="35"/>
  <c r="C246" i="35"/>
  <c r="E17" i="35"/>
  <c r="D17" i="35"/>
  <c r="D20" i="33" s="1"/>
  <c r="B110" i="35"/>
  <c r="C110" i="35" s="1"/>
  <c r="E10" i="35" s="1"/>
  <c r="B109" i="35"/>
  <c r="C109" i="35" s="1"/>
  <c r="D10" i="35" s="1"/>
  <c r="D13" i="33" s="1"/>
  <c r="E369" i="35"/>
  <c r="E20" i="35" s="1"/>
  <c r="D382" i="35"/>
  <c r="D383" i="35" s="1"/>
  <c r="E368" i="35"/>
  <c r="D20" i="35" s="1"/>
  <c r="D23" i="33" s="1"/>
  <c r="G295" i="35"/>
  <c r="C282" i="35" s="1"/>
  <c r="E282" i="35" s="1"/>
  <c r="F282" i="35" s="1"/>
  <c r="C313" i="35" s="1"/>
  <c r="G306" i="35"/>
  <c r="D205" i="35"/>
  <c r="D235" i="35" s="1"/>
  <c r="C231" i="35"/>
  <c r="I189" i="35"/>
  <c r="E14" i="35" s="1"/>
  <c r="I188" i="35"/>
  <c r="D14" i="35" s="1"/>
  <c r="D17" i="33" s="1"/>
  <c r="D174" i="35"/>
  <c r="E174" i="35" s="1"/>
  <c r="D173" i="35"/>
  <c r="D156" i="35"/>
  <c r="D159" i="35" s="1"/>
  <c r="C201" i="35" l="1"/>
  <c r="B271" i="35"/>
  <c r="C271" i="35" s="1"/>
  <c r="F81" i="35"/>
  <c r="G81" i="35" s="1"/>
  <c r="B270" i="35"/>
  <c r="C270" i="35" s="1"/>
  <c r="F80" i="35"/>
  <c r="G80" i="35" s="1"/>
  <c r="C283" i="35"/>
  <c r="E283" i="35" s="1"/>
  <c r="F283" i="35" s="1"/>
  <c r="C314" i="35" s="1"/>
  <c r="F174" i="35"/>
  <c r="H174" i="35" s="1"/>
  <c r="E173" i="35"/>
  <c r="F173" i="35" s="1"/>
  <c r="H173" i="35" s="1"/>
  <c r="B80" i="35" l="1"/>
  <c r="C80" i="35" s="1"/>
  <c r="D13" i="35"/>
  <c r="D16" i="33" s="1"/>
  <c r="B81" i="35"/>
  <c r="C81" i="35" s="1"/>
  <c r="E13" i="35"/>
  <c r="D155" i="35" l="1"/>
  <c r="D140" i="35"/>
  <c r="D120" i="35" s="1"/>
  <c r="B134" i="35"/>
  <c r="B149" i="35" s="1"/>
  <c r="C134" i="35"/>
  <c r="C149" i="35" s="1"/>
  <c r="B135" i="35"/>
  <c r="B150" i="35" s="1"/>
  <c r="C135" i="35"/>
  <c r="C150" i="35" s="1"/>
  <c r="C382" i="35"/>
  <c r="C383" i="35" s="1"/>
  <c r="E6" i="35"/>
  <c r="C141" i="35"/>
  <c r="C156" i="35" s="1"/>
  <c r="C159" i="35" s="1"/>
  <c r="G23" i="33"/>
  <c r="G22" i="33"/>
  <c r="G21" i="33"/>
  <c r="G20" i="33"/>
  <c r="G17" i="33"/>
  <c r="G16" i="33"/>
  <c r="G13" i="33"/>
  <c r="G8" i="33"/>
  <c r="G7" i="33"/>
  <c r="G6" i="33"/>
  <c r="Q410" i="27"/>
  <c r="Q409" i="27"/>
  <c r="Q408" i="27"/>
  <c r="Q407" i="27"/>
  <c r="Q406" i="27"/>
  <c r="Q405" i="27"/>
  <c r="Q404" i="27"/>
  <c r="Q403" i="27"/>
  <c r="Q402" i="27"/>
  <c r="Q401" i="27"/>
  <c r="Q400" i="27"/>
  <c r="Q399" i="27"/>
  <c r="Q398" i="27"/>
  <c r="Q397" i="27"/>
  <c r="Q396" i="27"/>
  <c r="Q395" i="27"/>
  <c r="Q394" i="27"/>
  <c r="Q393" i="27"/>
  <c r="Q392" i="27"/>
  <c r="Q391" i="27"/>
  <c r="Q390" i="27"/>
  <c r="Q389" i="27"/>
  <c r="Q388" i="27"/>
  <c r="Q387" i="27"/>
  <c r="Q386" i="27"/>
  <c r="Q385" i="27"/>
  <c r="N385" i="27"/>
  <c r="N386" i="27" s="1"/>
  <c r="N387" i="27" s="1"/>
  <c r="N388" i="27" s="1"/>
  <c r="N389" i="27" s="1"/>
  <c r="N390" i="27" s="1"/>
  <c r="N391" i="27" s="1"/>
  <c r="N392" i="27" s="1"/>
  <c r="N393" i="27" s="1"/>
  <c r="N394" i="27" s="1"/>
  <c r="N395" i="27" s="1"/>
  <c r="N396" i="27" s="1"/>
  <c r="N397" i="27" s="1"/>
  <c r="N398" i="27" s="1"/>
  <c r="N399" i="27" s="1"/>
  <c r="N400" i="27" s="1"/>
  <c r="N401" i="27" s="1"/>
  <c r="N402" i="27" s="1"/>
  <c r="N403" i="27" s="1"/>
  <c r="N404" i="27" s="1"/>
  <c r="N405" i="27" s="1"/>
  <c r="N406" i="27" s="1"/>
  <c r="N407" i="27" s="1"/>
  <c r="N408" i="27" s="1"/>
  <c r="N409" i="27" s="1"/>
  <c r="N410" i="27" s="1"/>
  <c r="Q384" i="27"/>
  <c r="N353" i="27"/>
  <c r="N354" i="27" s="1"/>
  <c r="N355" i="27" s="1"/>
  <c r="N356" i="27" s="1"/>
  <c r="N357" i="27" s="1"/>
  <c r="N358" i="27" s="1"/>
  <c r="N359" i="27" s="1"/>
  <c r="N360" i="27" s="1"/>
  <c r="N361" i="27" s="1"/>
  <c r="N362" i="27" s="1"/>
  <c r="N363" i="27" s="1"/>
  <c r="N364" i="27" s="1"/>
  <c r="N365" i="27" s="1"/>
  <c r="N366" i="27" s="1"/>
  <c r="N367" i="27" s="1"/>
  <c r="N368" i="27" s="1"/>
  <c r="N369" i="27" s="1"/>
  <c r="N370" i="27" s="1"/>
  <c r="N371" i="27" s="1"/>
  <c r="N372" i="27" s="1"/>
  <c r="N373" i="27" s="1"/>
  <c r="N374" i="27" s="1"/>
  <c r="N375" i="27" s="1"/>
  <c r="N376" i="27" s="1"/>
  <c r="N377" i="27" s="1"/>
  <c r="N378" i="27" s="1"/>
  <c r="C323" i="27"/>
  <c r="C298" i="27"/>
  <c r="F48" i="35" s="1"/>
  <c r="F297" i="27"/>
  <c r="F296" i="27"/>
  <c r="C291" i="27"/>
  <c r="B48" i="35" s="1"/>
  <c r="F290" i="27"/>
  <c r="F289" i="27"/>
  <c r="B244" i="27"/>
  <c r="B243" i="27"/>
  <c r="B242" i="27"/>
  <c r="B241" i="27"/>
  <c r="F234" i="27"/>
  <c r="F232" i="27"/>
  <c r="F230" i="27"/>
  <c r="F228" i="27"/>
  <c r="E218" i="27"/>
  <c r="E219" i="27" s="1"/>
  <c r="F222" i="27" s="1"/>
  <c r="F166" i="27"/>
  <c r="E124" i="27"/>
  <c r="E135" i="27" s="1"/>
  <c r="D309" i="27" s="1"/>
  <c r="E122" i="27"/>
  <c r="E121" i="27"/>
  <c r="E120" i="27"/>
  <c r="G119" i="27"/>
  <c r="E119" i="27"/>
  <c r="B112" i="27"/>
  <c r="E112" i="27" s="1"/>
  <c r="B111" i="27"/>
  <c r="G111" i="27" s="1"/>
  <c r="B110" i="27"/>
  <c r="E110" i="27" s="1"/>
  <c r="B109" i="27"/>
  <c r="G109" i="27" s="1"/>
  <c r="E103" i="27"/>
  <c r="B103" i="27"/>
  <c r="B102" i="27"/>
  <c r="B101" i="27"/>
  <c r="E101" i="27" s="1"/>
  <c r="B100" i="27"/>
  <c r="E100" i="27" s="1"/>
  <c r="G95" i="27"/>
  <c r="G93" i="27"/>
  <c r="G124" i="27" s="1"/>
  <c r="G135" i="27" s="1"/>
  <c r="H309" i="27" s="1"/>
  <c r="G91" i="27"/>
  <c r="G122" i="27" s="1"/>
  <c r="G87" i="27"/>
  <c r="G85" i="27"/>
  <c r="G121" i="27" s="1"/>
  <c r="G83" i="27"/>
  <c r="G120" i="27" s="1"/>
  <c r="G81" i="27"/>
  <c r="H59" i="27"/>
  <c r="E59" i="27"/>
  <c r="C25" i="27"/>
  <c r="D134" i="27" s="1"/>
  <c r="E89" i="27"/>
  <c r="C63" i="35" l="1"/>
  <c r="D6" i="35" s="1"/>
  <c r="D9" i="33" s="1"/>
  <c r="G9" i="33" s="1"/>
  <c r="G101" i="27"/>
  <c r="D137" i="27"/>
  <c r="G298" i="27"/>
  <c r="I296" i="27" s="1"/>
  <c r="H222" i="27"/>
  <c r="D236" i="27"/>
  <c r="E244" i="27" s="1"/>
  <c r="G102" i="27"/>
  <c r="E111" i="27"/>
  <c r="G112" i="27"/>
  <c r="G100" i="27"/>
  <c r="E102" i="27"/>
  <c r="E104" i="27" s="1"/>
  <c r="E125" i="27" s="1"/>
  <c r="E136" i="27" s="1"/>
  <c r="D310" i="27" s="1"/>
  <c r="E109" i="27"/>
  <c r="E113" i="27" s="1"/>
  <c r="E126" i="27" s="1"/>
  <c r="E137" i="27" s="1"/>
  <c r="D311" i="27" s="1"/>
  <c r="I297" i="27"/>
  <c r="G291" i="27"/>
  <c r="I290" i="27" s="1"/>
  <c r="C205" i="35"/>
  <c r="C154" i="35"/>
  <c r="C394" i="35" s="1"/>
  <c r="C395" i="35" s="1"/>
  <c r="C144" i="35"/>
  <c r="G89" i="27"/>
  <c r="G123" i="27" s="1"/>
  <c r="G134" i="27" s="1"/>
  <c r="H134" i="27" s="1"/>
  <c r="J308" i="27" s="1"/>
  <c r="E123" i="27"/>
  <c r="E134" i="27" s="1"/>
  <c r="F134" i="27" s="1"/>
  <c r="F308" i="27" s="1"/>
  <c r="J89" i="27"/>
  <c r="I261" i="27"/>
  <c r="G261" i="27"/>
  <c r="C22" i="27"/>
  <c r="D136" i="27"/>
  <c r="G103" i="27"/>
  <c r="G110" i="27"/>
  <c r="D135" i="27"/>
  <c r="I289" i="27" l="1"/>
  <c r="C293" i="27" s="1"/>
  <c r="C300" i="27"/>
  <c r="E243" i="27"/>
  <c r="E242" i="27"/>
  <c r="E241" i="27"/>
  <c r="G104" i="27"/>
  <c r="G125" i="27" s="1"/>
  <c r="G136" i="27" s="1"/>
  <c r="H310" i="27" s="1"/>
  <c r="G113" i="27"/>
  <c r="G126" i="27" s="1"/>
  <c r="G137" i="27" s="1"/>
  <c r="H311" i="27" s="1"/>
  <c r="F137" i="27"/>
  <c r="F311" i="27" s="1"/>
  <c r="D201" i="35"/>
  <c r="D231" i="35"/>
  <c r="D234" i="35"/>
  <c r="C235" i="35"/>
  <c r="D308" i="27"/>
  <c r="F209" i="27"/>
  <c r="F210" i="27" s="1"/>
  <c r="G260" i="27" s="1"/>
  <c r="H209" i="27"/>
  <c r="H210" i="27" s="1"/>
  <c r="I260" i="27" s="1"/>
  <c r="H308" i="27"/>
  <c r="H62" i="27"/>
  <c r="C23" i="27"/>
  <c r="E73" i="27" s="1"/>
  <c r="H60" i="27"/>
  <c r="F136" i="27"/>
  <c r="F310" i="27" s="1"/>
  <c r="F135" i="27"/>
  <c r="F309" i="27" s="1"/>
  <c r="H135" i="27"/>
  <c r="J309" i="27" s="1"/>
  <c r="H137" i="27" l="1"/>
  <c r="J311" i="27" s="1"/>
  <c r="E245" i="27"/>
  <c r="F250" i="27" s="1"/>
  <c r="G262" i="27" s="1"/>
  <c r="H136" i="27"/>
  <c r="J310" i="27" s="1"/>
  <c r="H75" i="27"/>
  <c r="D133" i="27" s="1"/>
  <c r="H250" i="27" l="1"/>
  <c r="I262" i="27" s="1"/>
  <c r="D396" i="35" l="1"/>
  <c r="D384" i="35"/>
  <c r="D127" i="18" l="1"/>
  <c r="E127" i="18" s="1"/>
  <c r="G127" i="18" s="1"/>
  <c r="D120" i="18"/>
  <c r="E120" i="18" s="1"/>
  <c r="G120" i="18" s="1"/>
  <c r="D112" i="18"/>
  <c r="E112" i="18" s="1"/>
  <c r="G112" i="18" s="1"/>
  <c r="D105" i="18"/>
  <c r="C95" i="18"/>
  <c r="D95" i="18" s="1"/>
  <c r="F95" i="18" s="1"/>
  <c r="G66" i="18"/>
  <c r="C58" i="18"/>
  <c r="G48" i="18"/>
  <c r="D48" i="18"/>
  <c r="C48" i="18"/>
  <c r="G47" i="18"/>
  <c r="J45" i="18"/>
  <c r="I45" i="18"/>
  <c r="G45" i="18"/>
  <c r="D45" i="18"/>
  <c r="J44" i="18"/>
  <c r="I44" i="18"/>
  <c r="G44" i="18"/>
  <c r="D44" i="18"/>
  <c r="C42" i="18"/>
  <c r="C40" i="18"/>
  <c r="C39" i="18"/>
  <c r="C38" i="18"/>
  <c r="F37" i="18"/>
  <c r="C37" i="18"/>
  <c r="F36" i="18"/>
  <c r="C36" i="18"/>
  <c r="F18" i="18"/>
  <c r="D47" i="18" l="1"/>
  <c r="E105" i="18"/>
  <c r="G105" i="18" s="1"/>
  <c r="H47" i="18"/>
  <c r="C78" i="18"/>
  <c r="C77" i="18"/>
  <c r="E252" i="18" l="1"/>
  <c r="J252" i="18" s="1"/>
  <c r="E247" i="18"/>
  <c r="J247" i="18" s="1"/>
  <c r="E254" i="18"/>
  <c r="J254" i="18" s="1"/>
  <c r="E255" i="18"/>
  <c r="J255" i="18" s="1"/>
  <c r="E249" i="18"/>
  <c r="J249" i="18" s="1"/>
  <c r="E244" i="18"/>
  <c r="J244" i="18" s="1"/>
  <c r="E238" i="18"/>
  <c r="J238" i="18" s="1"/>
  <c r="E251" i="18"/>
  <c r="J251" i="18" s="1"/>
  <c r="E246" i="18"/>
  <c r="J246" i="18" s="1"/>
  <c r="E256" i="18"/>
  <c r="J256" i="18" s="1"/>
  <c r="E245" i="18"/>
  <c r="J245" i="18" s="1"/>
  <c r="E253" i="18"/>
  <c r="J253" i="18" s="1"/>
  <c r="E248" i="18"/>
  <c r="J248" i="18" s="1"/>
  <c r="E250" i="18"/>
  <c r="J250" i="18" s="1"/>
  <c r="E236" i="18"/>
  <c r="J236" i="18" s="1"/>
  <c r="E231" i="18"/>
  <c r="E230" i="18"/>
  <c r="J230" i="18" s="1"/>
  <c r="E226" i="18"/>
  <c r="J226" i="18" s="1"/>
  <c r="E235" i="18"/>
  <c r="J235" i="18" s="1"/>
  <c r="E229" i="18"/>
  <c r="J229" i="18" s="1"/>
  <c r="E228" i="18"/>
  <c r="J228" i="18" s="1"/>
  <c r="E233" i="18"/>
  <c r="J233" i="18" s="1"/>
  <c r="E234" i="18"/>
  <c r="J234" i="18" s="1"/>
  <c r="E227" i="18"/>
  <c r="J227" i="18" s="1"/>
  <c r="E232" i="18"/>
  <c r="J232" i="18" s="1"/>
  <c r="E237" i="18"/>
  <c r="J237" i="18" s="1"/>
  <c r="E212" i="18"/>
  <c r="J212" i="18" s="1"/>
  <c r="E210" i="18"/>
  <c r="J210" i="18" s="1"/>
  <c r="E211" i="18"/>
  <c r="J211" i="18" s="1"/>
  <c r="E200" i="18"/>
  <c r="J200" i="18" s="1"/>
  <c r="E213" i="18"/>
  <c r="J213" i="18" s="1"/>
  <c r="E214" i="18"/>
  <c r="J214" i="18" s="1"/>
  <c r="E215" i="18"/>
  <c r="J215" i="18" s="1"/>
  <c r="E193" i="18"/>
  <c r="E216" i="18"/>
  <c r="J216" i="18" s="1"/>
  <c r="E217" i="18"/>
  <c r="J217" i="18" s="1"/>
  <c r="E218" i="18"/>
  <c r="J218" i="18" s="1"/>
  <c r="E207" i="18"/>
  <c r="J207" i="18" s="1"/>
  <c r="E208" i="18"/>
  <c r="J208" i="18" s="1"/>
  <c r="E209" i="18"/>
  <c r="J209" i="18" s="1"/>
  <c r="E219" i="18"/>
  <c r="J219" i="18" s="1"/>
  <c r="E198" i="18"/>
  <c r="J198" i="18" s="1"/>
  <c r="E188" i="18"/>
  <c r="J188" i="18" s="1"/>
  <c r="E197" i="18"/>
  <c r="J197" i="18" s="1"/>
  <c r="E191" i="18"/>
  <c r="J191" i="18" s="1"/>
  <c r="E192" i="18"/>
  <c r="J192" i="18" s="1"/>
  <c r="E190" i="18"/>
  <c r="J190" i="18" s="1"/>
  <c r="E195" i="18"/>
  <c r="J195" i="18" s="1"/>
  <c r="E196" i="18"/>
  <c r="J196" i="18" s="1"/>
  <c r="H48" i="18"/>
  <c r="E189" i="18"/>
  <c r="J189" i="18" s="1"/>
  <c r="E194" i="18"/>
  <c r="J194" i="18" s="1"/>
  <c r="E199" i="18"/>
  <c r="J199" i="18" s="1"/>
  <c r="E170" i="18"/>
  <c r="J170" i="18" s="1"/>
  <c r="E173" i="18"/>
  <c r="J173" i="18" s="1"/>
  <c r="E169" i="18"/>
  <c r="J169" i="18" s="1"/>
  <c r="E174" i="18"/>
  <c r="E171" i="18"/>
  <c r="E172" i="18"/>
  <c r="E176" i="18"/>
  <c r="J176" i="18" s="1"/>
  <c r="E178" i="18"/>
  <c r="J178" i="18" s="1"/>
  <c r="E180" i="18"/>
  <c r="J180" i="18" s="1"/>
  <c r="E179" i="18"/>
  <c r="J179" i="18" s="1"/>
  <c r="E181" i="18"/>
  <c r="J181" i="18" s="1"/>
  <c r="E175" i="18"/>
  <c r="J175" i="18" s="1"/>
  <c r="E177" i="18"/>
  <c r="J177" i="18" s="1"/>
  <c r="C384" i="35"/>
  <c r="C396" i="35"/>
  <c r="D33" i="47" l="1"/>
  <c r="L195" i="18"/>
  <c r="D34" i="47" s="1"/>
  <c r="L197" i="18"/>
  <c r="D40" i="47" s="1"/>
  <c r="D39" i="47"/>
  <c r="E42" i="47"/>
  <c r="L217" i="18"/>
  <c r="E43" i="47" s="1"/>
  <c r="E21" i="47"/>
  <c r="L210" i="18"/>
  <c r="E22" i="47" s="1"/>
  <c r="L229" i="18"/>
  <c r="F22" i="47" s="1"/>
  <c r="F21" i="47"/>
  <c r="L253" i="18"/>
  <c r="G40" i="47" s="1"/>
  <c r="G39" i="47"/>
  <c r="G45" i="47"/>
  <c r="K255" i="18"/>
  <c r="G46" i="47" s="1"/>
  <c r="C42" i="47"/>
  <c r="L179" i="18"/>
  <c r="C43" i="47" s="1"/>
  <c r="C24" i="47"/>
  <c r="K173" i="18"/>
  <c r="C25" i="47" s="1"/>
  <c r="D18" i="47"/>
  <c r="L190" i="18"/>
  <c r="D19" i="47" s="1"/>
  <c r="L216" i="18"/>
  <c r="E40" i="47" s="1"/>
  <c r="E39" i="47"/>
  <c r="K213" i="18"/>
  <c r="E31" i="47" s="1"/>
  <c r="E30" i="47"/>
  <c r="F36" i="47"/>
  <c r="L234" i="18"/>
  <c r="F37" i="47" s="1"/>
  <c r="F39" i="47"/>
  <c r="L235" i="18"/>
  <c r="F40" i="47" s="1"/>
  <c r="F42" i="47"/>
  <c r="L236" i="18"/>
  <c r="F43" i="47" s="1"/>
  <c r="K245" i="18"/>
  <c r="G16" i="47" s="1"/>
  <c r="G15" i="47"/>
  <c r="G42" i="47"/>
  <c r="L254" i="18"/>
  <c r="G43" i="47" s="1"/>
  <c r="C36" i="47"/>
  <c r="L177" i="18"/>
  <c r="C37" i="47" s="1"/>
  <c r="K180" i="18"/>
  <c r="C46" i="47" s="1"/>
  <c r="C45" i="47"/>
  <c r="K170" i="18"/>
  <c r="C16" i="47" s="1"/>
  <c r="C15" i="47"/>
  <c r="K192" i="18"/>
  <c r="D25" i="47" s="1"/>
  <c r="D24" i="47"/>
  <c r="L198" i="18"/>
  <c r="D43" i="47" s="1"/>
  <c r="D42" i="47"/>
  <c r="F45" i="47"/>
  <c r="K237" i="18"/>
  <c r="F46" i="47" s="1"/>
  <c r="F33" i="47"/>
  <c r="L233" i="18"/>
  <c r="F34" i="47" s="1"/>
  <c r="G30" i="47"/>
  <c r="K250" i="18"/>
  <c r="G31" i="47" s="1"/>
  <c r="G21" i="47"/>
  <c r="L247" i="18"/>
  <c r="G22" i="47" s="1"/>
  <c r="C33" i="47"/>
  <c r="L176" i="18"/>
  <c r="C34" i="47" s="1"/>
  <c r="K194" i="18"/>
  <c r="D31" i="47" s="1"/>
  <c r="D30" i="47"/>
  <c r="L209" i="18"/>
  <c r="E19" i="47" s="1"/>
  <c r="E18" i="47"/>
  <c r="L214" i="18"/>
  <c r="E34" i="47" s="1"/>
  <c r="E33" i="47"/>
  <c r="F15" i="47"/>
  <c r="K227" i="18"/>
  <c r="F16" i="47" s="1"/>
  <c r="L251" i="18"/>
  <c r="G34" i="47" s="1"/>
  <c r="G33" i="47"/>
  <c r="D15" i="47"/>
  <c r="K189" i="18"/>
  <c r="D16" i="47" s="1"/>
  <c r="E15" i="47"/>
  <c r="K208" i="18"/>
  <c r="E16" i="47" s="1"/>
  <c r="E27" i="47"/>
  <c r="L212" i="18"/>
  <c r="E28" i="47" s="1"/>
  <c r="C30" i="47"/>
  <c r="K175" i="18"/>
  <c r="C31" i="47" s="1"/>
  <c r="L178" i="18"/>
  <c r="C40" i="47" s="1"/>
  <c r="C39" i="47"/>
  <c r="D45" i="47"/>
  <c r="K199" i="18"/>
  <c r="D46" i="47" s="1"/>
  <c r="L196" i="18"/>
  <c r="D37" i="47" s="1"/>
  <c r="D36" i="47"/>
  <c r="D21" i="47"/>
  <c r="L191" i="18"/>
  <c r="D22" i="47" s="1"/>
  <c r="K218" i="18"/>
  <c r="E46" i="47" s="1"/>
  <c r="E45" i="47"/>
  <c r="L215" i="18"/>
  <c r="E37" i="47" s="1"/>
  <c r="E36" i="47"/>
  <c r="K211" i="18"/>
  <c r="E25" i="47" s="1"/>
  <c r="E24" i="47"/>
  <c r="K232" i="18"/>
  <c r="F31" i="47" s="1"/>
  <c r="F30" i="47"/>
  <c r="F18" i="47"/>
  <c r="L228" i="18"/>
  <c r="F19" i="47" s="1"/>
  <c r="K230" i="18"/>
  <c r="F25" i="47" s="1"/>
  <c r="F24" i="47"/>
  <c r="G24" i="47"/>
  <c r="K248" i="18"/>
  <c r="G25" i="47" s="1"/>
  <c r="G18" i="47"/>
  <c r="L246" i="18"/>
  <c r="G19" i="47" s="1"/>
  <c r="L249" i="18"/>
  <c r="G28" i="47" s="1"/>
  <c r="G27" i="47"/>
  <c r="G36" i="47"/>
  <c r="L252" i="18"/>
  <c r="G37" i="47" s="1"/>
  <c r="E57" i="46"/>
  <c r="E53" i="46"/>
  <c r="E35" i="46"/>
  <c r="E47" i="46"/>
  <c r="E48" i="46"/>
  <c r="E58" i="46"/>
  <c r="E34" i="46"/>
  <c r="E64" i="46"/>
  <c r="E49" i="46"/>
  <c r="E39" i="46"/>
  <c r="E40" i="46"/>
  <c r="E36" i="46"/>
  <c r="E46" i="46"/>
  <c r="E66" i="46"/>
  <c r="E38" i="46"/>
  <c r="E54" i="46"/>
  <c r="E62" i="46"/>
  <c r="E33" i="46"/>
  <c r="E59" i="46"/>
  <c r="E44" i="46"/>
  <c r="E55" i="46"/>
  <c r="E60" i="46"/>
  <c r="E61" i="46"/>
  <c r="E51" i="46"/>
  <c r="E41" i="46"/>
  <c r="E52" i="46"/>
  <c r="E63" i="46"/>
  <c r="E50" i="46"/>
  <c r="E65" i="46"/>
  <c r="E56" i="46"/>
  <c r="J174" i="18"/>
  <c r="J172" i="18"/>
  <c r="J171" i="18"/>
  <c r="J193" i="18"/>
  <c r="J231" i="18"/>
  <c r="D133" i="35"/>
  <c r="C21" i="47" l="1"/>
  <c r="L172" i="18"/>
  <c r="C22" i="47" s="1"/>
  <c r="F27" i="47"/>
  <c r="L231" i="18"/>
  <c r="F28" i="47" s="1"/>
  <c r="L174" i="18"/>
  <c r="C28" i="47" s="1"/>
  <c r="C27" i="47"/>
  <c r="L193" i="18"/>
  <c r="D28" i="47" s="1"/>
  <c r="D27" i="47"/>
  <c r="C18" i="47"/>
  <c r="L171" i="18"/>
  <c r="C19" i="47" s="1"/>
  <c r="E37" i="46"/>
  <c r="E45" i="46"/>
  <c r="E42" i="46"/>
  <c r="F64" i="46"/>
  <c r="G64" i="46" s="1"/>
  <c r="H64" i="46" s="1"/>
  <c r="K64" i="46" s="1"/>
  <c r="F66" i="46"/>
  <c r="G66" i="46" s="1"/>
  <c r="H66" i="46" s="1"/>
  <c r="K66" i="46" s="1"/>
  <c r="F63" i="46"/>
  <c r="G63" i="46" s="1"/>
  <c r="H63" i="46" s="1"/>
  <c r="K63" i="46" s="1"/>
  <c r="F62" i="46"/>
  <c r="G62" i="46" s="1"/>
  <c r="H62" i="46" s="1"/>
  <c r="K62" i="46" s="1"/>
  <c r="J24" i="18" s="1"/>
  <c r="F65" i="46"/>
  <c r="G65" i="46" s="1"/>
  <c r="H65" i="46" s="1"/>
  <c r="K65" i="46" s="1"/>
  <c r="E43" i="46"/>
  <c r="F61" i="46"/>
  <c r="G61" i="46" s="1"/>
  <c r="H61" i="46" s="1"/>
  <c r="K61" i="46" s="1"/>
  <c r="F57" i="46"/>
  <c r="G57" i="46" s="1"/>
  <c r="H57" i="46" s="1"/>
  <c r="K57" i="46" s="1"/>
  <c r="I24" i="18" s="1"/>
  <c r="F60" i="46"/>
  <c r="G60" i="46" s="1"/>
  <c r="H60" i="46" s="1"/>
  <c r="K60" i="46" s="1"/>
  <c r="F59" i="46"/>
  <c r="G59" i="46" s="1"/>
  <c r="H59" i="46" s="1"/>
  <c r="K59" i="46" s="1"/>
  <c r="F58" i="46"/>
  <c r="G58" i="46" s="1"/>
  <c r="H58" i="46" s="1"/>
  <c r="K58" i="46" s="1"/>
  <c r="E32" i="46"/>
  <c r="F56" i="46"/>
  <c r="G56" i="46" s="1"/>
  <c r="H56" i="46" s="1"/>
  <c r="K56" i="46" s="1"/>
  <c r="F53" i="46"/>
  <c r="G53" i="46" s="1"/>
  <c r="H53" i="46" s="1"/>
  <c r="K53" i="46" s="1"/>
  <c r="F54" i="46"/>
  <c r="G54" i="46" s="1"/>
  <c r="H54" i="46" s="1"/>
  <c r="K54" i="46" s="1"/>
  <c r="F55" i="46"/>
  <c r="G55" i="46" s="1"/>
  <c r="H55" i="46" s="1"/>
  <c r="K55" i="46" s="1"/>
  <c r="F52" i="46"/>
  <c r="G52" i="46" s="1"/>
  <c r="H52" i="46" s="1"/>
  <c r="K52" i="46" s="1"/>
  <c r="H24" i="18" s="1"/>
  <c r="F50" i="46"/>
  <c r="G50" i="46" s="1"/>
  <c r="H50" i="46" s="1"/>
  <c r="K50" i="46" s="1"/>
  <c r="F49" i="46"/>
  <c r="G49" i="46" s="1"/>
  <c r="H49" i="46" s="1"/>
  <c r="K49" i="46" s="1"/>
  <c r="F48" i="46"/>
  <c r="G48" i="46" s="1"/>
  <c r="H48" i="46" s="1"/>
  <c r="K48" i="46" s="1"/>
  <c r="F51" i="46"/>
  <c r="G51" i="46" s="1"/>
  <c r="H51" i="46" s="1"/>
  <c r="K51" i="46" s="1"/>
  <c r="F47" i="46"/>
  <c r="G47" i="46" s="1"/>
  <c r="H47" i="46" s="1"/>
  <c r="K47" i="46" s="1"/>
  <c r="G24" i="18" s="1"/>
  <c r="D137" i="35"/>
  <c r="D207" i="35" s="1"/>
  <c r="D377" i="35"/>
  <c r="D136" i="35"/>
  <c r="F34" i="46" l="1"/>
  <c r="G34" i="46" s="1"/>
  <c r="H34" i="46" s="1"/>
  <c r="K34" i="46" s="1"/>
  <c r="F36" i="46"/>
  <c r="G36" i="46" s="1"/>
  <c r="H36" i="46" s="1"/>
  <c r="K36" i="46" s="1"/>
  <c r="F35" i="46"/>
  <c r="G35" i="46" s="1"/>
  <c r="H35" i="46" s="1"/>
  <c r="K35" i="46" s="1"/>
  <c r="F32" i="46"/>
  <c r="G32" i="46" s="1"/>
  <c r="H32" i="46" s="1"/>
  <c r="K32" i="46" s="1"/>
  <c r="D24" i="18" s="1"/>
  <c r="F33" i="46"/>
  <c r="G33" i="46" s="1"/>
  <c r="H33" i="46" s="1"/>
  <c r="K33" i="46" s="1"/>
  <c r="F40" i="46"/>
  <c r="G40" i="46" s="1"/>
  <c r="H40" i="46" s="1"/>
  <c r="K40" i="46" s="1"/>
  <c r="F38" i="46"/>
  <c r="G38" i="46" s="1"/>
  <c r="H38" i="46" s="1"/>
  <c r="K38" i="46" s="1"/>
  <c r="F39" i="46"/>
  <c r="G39" i="46" s="1"/>
  <c r="H39" i="46" s="1"/>
  <c r="K39" i="46" s="1"/>
  <c r="F41" i="46"/>
  <c r="G41" i="46" s="1"/>
  <c r="H41" i="46" s="1"/>
  <c r="K41" i="46" s="1"/>
  <c r="F37" i="46"/>
  <c r="G37" i="46" s="1"/>
  <c r="H37" i="46" s="1"/>
  <c r="K37" i="46" s="1"/>
  <c r="E24" i="18" s="1"/>
  <c r="F45" i="46"/>
  <c r="G45" i="46" s="1"/>
  <c r="H45" i="46" s="1"/>
  <c r="K45" i="46" s="1"/>
  <c r="F42" i="46"/>
  <c r="G42" i="46" s="1"/>
  <c r="H42" i="46" s="1"/>
  <c r="K42" i="46" s="1"/>
  <c r="F24" i="18" s="1"/>
  <c r="F44" i="46"/>
  <c r="G44" i="46" s="1"/>
  <c r="H44" i="46" s="1"/>
  <c r="K44" i="46" s="1"/>
  <c r="F46" i="46"/>
  <c r="G46" i="46" s="1"/>
  <c r="H46" i="46" s="1"/>
  <c r="K46" i="46" s="1"/>
  <c r="F43" i="46"/>
  <c r="G43" i="46" s="1"/>
  <c r="H43" i="46" s="1"/>
  <c r="K43" i="46" s="1"/>
  <c r="D138" i="35"/>
  <c r="D116" i="35" s="1"/>
  <c r="C49" i="35" l="1"/>
  <c r="D145" i="35"/>
  <c r="D206" i="35"/>
  <c r="D378" i="35" s="1"/>
  <c r="C56" i="35" l="1"/>
  <c r="E56" i="35" s="1"/>
  <c r="E49" i="35"/>
  <c r="C133" i="35"/>
  <c r="D208" i="35"/>
  <c r="D117" i="35" s="1"/>
  <c r="D118" i="35" s="1"/>
  <c r="D124" i="35" s="1"/>
  <c r="E11" i="35" s="1"/>
  <c r="D380" i="35"/>
  <c r="D385" i="35" s="1"/>
  <c r="C377" i="35" l="1"/>
  <c r="C136" i="35"/>
  <c r="D209" i="35"/>
  <c r="D224" i="35" s="1"/>
  <c r="C48" i="35" l="1"/>
  <c r="D148" i="35"/>
  <c r="C55" i="35" l="1"/>
  <c r="E55" i="35" s="1"/>
  <c r="E48" i="35"/>
  <c r="D152" i="35"/>
  <c r="D237" i="35" s="1"/>
  <c r="D151" i="35"/>
  <c r="D389" i="35"/>
  <c r="D153" i="35" l="1"/>
  <c r="D160" i="35" s="1"/>
  <c r="D164" i="35" s="1"/>
  <c r="G49" i="35" l="1"/>
  <c r="D236" i="35"/>
  <c r="D81" i="35"/>
  <c r="D271" i="35"/>
  <c r="E271" i="35" s="1"/>
  <c r="F271" i="35" s="1"/>
  <c r="B314" i="35" s="1"/>
  <c r="D314" i="35" s="1"/>
  <c r="B334" i="35" s="1"/>
  <c r="E12" i="35"/>
  <c r="G56" i="35" l="1"/>
  <c r="I56" i="35" s="1"/>
  <c r="I49" i="35"/>
  <c r="B64" i="35" s="1"/>
  <c r="D390" i="35"/>
  <c r="D392" i="35" s="1"/>
  <c r="D397" i="35" s="1"/>
  <c r="D238" i="35"/>
  <c r="D239" i="35" s="1"/>
  <c r="D254" i="35" s="1"/>
  <c r="D258" i="35" s="1"/>
  <c r="D64" i="35" l="1"/>
  <c r="E8" i="35" s="1"/>
  <c r="E7" i="35"/>
  <c r="C148" i="35"/>
  <c r="C389" i="35" s="1"/>
  <c r="E81" i="35"/>
  <c r="H81" i="35" s="1"/>
  <c r="B98" i="35" s="1"/>
  <c r="B322" i="35"/>
  <c r="C322" i="35" s="1"/>
  <c r="C334" i="35" s="1"/>
  <c r="D334" i="35" s="1"/>
  <c r="E16" i="35" s="1"/>
  <c r="B91" i="35"/>
  <c r="C91" i="35" s="1"/>
  <c r="D91" i="35" s="1"/>
  <c r="C98" i="35" s="1"/>
  <c r="E15" i="35"/>
  <c r="C151" i="35" l="1"/>
  <c r="C152" i="35"/>
  <c r="C237" i="35" s="1"/>
  <c r="D98" i="35"/>
  <c r="E9" i="35" s="1"/>
  <c r="G48" i="35" l="1"/>
  <c r="C153" i="35"/>
  <c r="C160" i="35" s="1"/>
  <c r="C236" i="35"/>
  <c r="G55" i="35" l="1"/>
  <c r="I55" i="35" s="1"/>
  <c r="I48" i="35"/>
  <c r="C390" i="35"/>
  <c r="C392" i="35" s="1"/>
  <c r="C397" i="35" s="1"/>
  <c r="C238" i="35"/>
  <c r="C239" i="35" s="1"/>
  <c r="C254" i="35" s="1"/>
  <c r="B63" i="35" l="1"/>
  <c r="D63" i="35" s="1"/>
  <c r="D8" i="35" s="1"/>
  <c r="D11" i="33" s="1"/>
  <c r="G11" i="33" s="1"/>
  <c r="D7" i="35" l="1"/>
  <c r="D10" i="33" s="1"/>
  <c r="G10" i="33" s="1"/>
  <c r="G24" i="33" s="1"/>
  <c r="G25" i="33" l="1"/>
  <c r="G26" i="33" s="1"/>
  <c r="G27" i="33" s="1"/>
  <c r="D28" i="18" l="1"/>
  <c r="E27" i="18"/>
  <c r="E28" i="18" s="1"/>
  <c r="F26" i="18"/>
  <c r="F27" i="18" s="1"/>
  <c r="F28" i="18" s="1"/>
  <c r="I26" i="18"/>
  <c r="I27" i="18"/>
  <c r="I28" i="18" s="1"/>
  <c r="J26" i="18"/>
  <c r="J27" i="18" s="1"/>
  <c r="J28" i="18" s="1"/>
  <c r="H26" i="18"/>
  <c r="H27" i="18" s="1"/>
  <c r="H28" i="18" s="1"/>
  <c r="G26" i="18"/>
  <c r="G27" i="18" s="1"/>
  <c r="G28" i="18" s="1"/>
  <c r="C14" i="18"/>
  <c r="M178" i="18" l="1"/>
  <c r="S176" i="18" s="1"/>
  <c r="M253" i="18"/>
  <c r="W176" i="18" s="1"/>
  <c r="M254" i="18"/>
  <c r="W177" i="18" s="1"/>
  <c r="M179" i="18"/>
  <c r="M247" i="18"/>
  <c r="W172" i="18" s="1"/>
  <c r="M172" i="18"/>
  <c r="S172" i="18" s="1"/>
  <c r="M251" i="18"/>
  <c r="W174" i="18" s="1"/>
  <c r="M176" i="18"/>
  <c r="S174" i="18" s="1"/>
  <c r="M246" i="18"/>
  <c r="W171" i="18" s="1"/>
  <c r="M171" i="18"/>
  <c r="S171" i="18" s="1"/>
  <c r="M177" i="18"/>
  <c r="S175" i="18" s="1"/>
  <c r="M252" i="18"/>
  <c r="W175" i="18" s="1"/>
  <c r="M249" i="18"/>
  <c r="W173" i="18" s="1"/>
  <c r="M174" i="18"/>
  <c r="S173" i="18" s="1"/>
  <c r="N254" i="18"/>
  <c r="N179" i="18" l="1"/>
  <c r="S177" i="18"/>
  <c r="N247" i="18"/>
  <c r="N253" i="18"/>
  <c r="N249" i="18"/>
  <c r="N251" i="18"/>
  <c r="N246" i="18"/>
  <c r="N252" i="18"/>
  <c r="N172" i="18"/>
  <c r="N178" i="18"/>
  <c r="N174" i="18"/>
  <c r="N176" i="18"/>
  <c r="N171" i="18"/>
  <c r="N177" i="18"/>
  <c r="C137" i="35"/>
  <c r="O249" i="18" l="1"/>
  <c r="P249" i="18" s="1"/>
  <c r="O244" i="18"/>
  <c r="P244" i="18" s="1"/>
  <c r="O250" i="18"/>
  <c r="O255" i="18"/>
  <c r="O248" i="18"/>
  <c r="O246" i="18"/>
  <c r="P246" i="18" s="1"/>
  <c r="O247" i="18"/>
  <c r="P247" i="18" s="1"/>
  <c r="O176" i="18"/>
  <c r="P176" i="18" s="1"/>
  <c r="O252" i="18"/>
  <c r="P252" i="18" s="1"/>
  <c r="O253" i="18"/>
  <c r="P253" i="18" s="1"/>
  <c r="O251" i="18"/>
  <c r="P251" i="18" s="1"/>
  <c r="O254" i="18"/>
  <c r="O174" i="18"/>
  <c r="P174" i="18" s="1"/>
  <c r="O169" i="18"/>
  <c r="O177" i="18"/>
  <c r="P177" i="18" s="1"/>
  <c r="O178" i="18"/>
  <c r="P178" i="18" s="1"/>
  <c r="O172" i="18"/>
  <c r="P172" i="18" s="1"/>
  <c r="O171" i="18"/>
  <c r="P171" i="18" s="1"/>
  <c r="C138" i="35"/>
  <c r="C207" i="35"/>
  <c r="C32" i="27" l="1"/>
  <c r="C145" i="35"/>
  <c r="C164" i="35" s="1"/>
  <c r="C116" i="35"/>
  <c r="C206" i="35"/>
  <c r="C378" i="35" s="1"/>
  <c r="C380" i="35" s="1"/>
  <c r="C385" i="35" s="1"/>
  <c r="P169" i="18"/>
  <c r="D12" i="35" l="1"/>
  <c r="D15" i="33" s="1"/>
  <c r="G15" i="33" s="1"/>
  <c r="D270" i="35"/>
  <c r="E270" i="35" s="1"/>
  <c r="F270" i="35" s="1"/>
  <c r="B313" i="35" s="1"/>
  <c r="D313" i="35" s="1"/>
  <c r="B333" i="35" s="1"/>
  <c r="D80" i="35"/>
  <c r="E80" i="35" s="1"/>
  <c r="H80" i="35" s="1"/>
  <c r="B97" i="35" s="1"/>
  <c r="E62" i="27"/>
  <c r="E63" i="27" s="1"/>
  <c r="H63" i="27" s="1"/>
  <c r="F168" i="27"/>
  <c r="C208" i="35"/>
  <c r="C117" i="35" l="1"/>
  <c r="C118" i="35" s="1"/>
  <c r="C124" i="35" s="1"/>
  <c r="D11" i="35" s="1"/>
  <c r="D14" i="33" s="1"/>
  <c r="G14" i="33" s="1"/>
  <c r="C30" i="27"/>
  <c r="C209" i="35"/>
  <c r="C224" i="35" s="1"/>
  <c r="C258" i="35" s="1"/>
  <c r="B321" i="35" l="1"/>
  <c r="C321" i="35" s="1"/>
  <c r="C333" i="35" s="1"/>
  <c r="D333" i="35" s="1"/>
  <c r="D16" i="35" s="1"/>
  <c r="D19" i="33" s="1"/>
  <c r="G19" i="33" s="1"/>
  <c r="D15" i="35"/>
  <c r="D18" i="33" s="1"/>
  <c r="G18" i="33" s="1"/>
  <c r="B90" i="35"/>
  <c r="C90" i="35" s="1"/>
  <c r="D90" i="35" s="1"/>
  <c r="C97" i="35" s="1"/>
  <c r="D97" i="35" s="1"/>
  <c r="D9" i="35" s="1"/>
  <c r="D12" i="33" s="1"/>
  <c r="G12" i="33" s="1"/>
  <c r="F169" i="27"/>
  <c r="F190" i="27"/>
  <c r="F193" i="27" s="1"/>
  <c r="H195" i="27" s="1"/>
  <c r="E259" i="27" s="1"/>
  <c r="E72" i="27"/>
  <c r="E75" i="27" s="1"/>
  <c r="F224" i="27"/>
  <c r="E261" i="27" s="1"/>
  <c r="F212" i="27"/>
  <c r="E260" i="27" s="1"/>
  <c r="F252" i="27"/>
  <c r="E262" i="27" s="1"/>
  <c r="E60" i="27"/>
  <c r="F171" i="27"/>
  <c r="F187" i="27" s="1"/>
  <c r="F188" i="27" s="1"/>
  <c r="F191" i="27" s="1"/>
  <c r="E195" i="27" s="1"/>
  <c r="I259" i="27" l="1"/>
  <c r="G259" i="27"/>
  <c r="H259" i="27" s="1"/>
  <c r="F313" i="27" s="1"/>
  <c r="H261" i="27"/>
  <c r="J261" i="27"/>
  <c r="F174" i="27"/>
  <c r="H176" i="27" s="1"/>
  <c r="E258" i="27" s="1"/>
  <c r="F172" i="27"/>
  <c r="E176" i="27" s="1"/>
  <c r="E65" i="27"/>
  <c r="H65" i="27"/>
  <c r="D132" i="27" s="1"/>
  <c r="E133" i="27"/>
  <c r="G133" i="27"/>
  <c r="H260" i="27"/>
  <c r="J260" i="27"/>
  <c r="J262" i="27"/>
  <c r="H262" i="27"/>
  <c r="J259" i="27"/>
  <c r="J313" i="27" s="1"/>
  <c r="J315" i="27" l="1"/>
  <c r="J314" i="27"/>
  <c r="F314" i="27"/>
  <c r="F315" i="27"/>
  <c r="E132" i="27"/>
  <c r="D306" i="27" s="1"/>
  <c r="G132" i="27"/>
  <c r="H306" i="27" s="1"/>
  <c r="F316" i="27"/>
  <c r="F317" i="27"/>
  <c r="H307" i="27"/>
  <c r="H133" i="27"/>
  <c r="J307" i="27" s="1"/>
  <c r="G258" i="27"/>
  <c r="H258" i="27" s="1"/>
  <c r="F312" i="27" s="1"/>
  <c r="I258" i="27"/>
  <c r="J258" i="27" s="1"/>
  <c r="J312" i="27" s="1"/>
  <c r="F132" i="27"/>
  <c r="F306" i="27" s="1"/>
  <c r="H132" i="27"/>
  <c r="J306" i="27" s="1"/>
  <c r="J316" i="27"/>
  <c r="J317" i="27"/>
  <c r="D307" i="27"/>
  <c r="F133" i="27"/>
  <c r="F307" i="27" s="1"/>
  <c r="B396" i="27" l="1"/>
  <c r="B390" i="27"/>
  <c r="B398" i="27"/>
  <c r="B394" i="27"/>
  <c r="B384" i="27"/>
  <c r="B388" i="27"/>
  <c r="B386" i="27"/>
  <c r="B392" i="27"/>
  <c r="D410" i="27"/>
  <c r="D406" i="27"/>
  <c r="D384" i="27"/>
  <c r="C384" i="27" s="1"/>
  <c r="D390" i="27"/>
  <c r="D388" i="27"/>
  <c r="D404" i="27"/>
  <c r="D408" i="27"/>
  <c r="D386" i="27"/>
  <c r="D392" i="27"/>
  <c r="D394" i="27"/>
  <c r="D402" i="27"/>
  <c r="D400" i="27"/>
  <c r="D398" i="27"/>
  <c r="D396" i="27"/>
  <c r="C396" i="27" s="1"/>
  <c r="D362" i="27"/>
  <c r="D376" i="27"/>
  <c r="D378" i="27"/>
  <c r="D364" i="27"/>
  <c r="D366" i="27"/>
  <c r="D360" i="27"/>
  <c r="D354" i="27"/>
  <c r="D374" i="27"/>
  <c r="D368" i="27"/>
  <c r="D370" i="27"/>
  <c r="D356" i="27"/>
  <c r="D352" i="27"/>
  <c r="D372" i="27"/>
  <c r="D358" i="27"/>
  <c r="B366" i="27"/>
  <c r="B362" i="27"/>
  <c r="B354" i="27"/>
  <c r="B364" i="27"/>
  <c r="B356" i="27"/>
  <c r="B360" i="27"/>
  <c r="B358" i="27"/>
  <c r="B352" i="27"/>
  <c r="C358" i="27" l="1"/>
  <c r="C360" i="27"/>
  <c r="C386" i="27"/>
  <c r="E386" i="27" s="1"/>
  <c r="F386" i="27" s="1"/>
  <c r="C390" i="27"/>
  <c r="E390" i="27" s="1"/>
  <c r="G390" i="27" s="1"/>
  <c r="C398" i="27"/>
  <c r="C388" i="27"/>
  <c r="E388" i="27" s="1"/>
  <c r="F388" i="27" s="1"/>
  <c r="B370" i="27"/>
  <c r="C370" i="27" s="1"/>
  <c r="B368" i="27"/>
  <c r="C368" i="27" s="1"/>
  <c r="B410" i="27"/>
  <c r="B408" i="27"/>
  <c r="C408" i="27" s="1"/>
  <c r="C366" i="27"/>
  <c r="E366" i="27" s="1"/>
  <c r="C362" i="27"/>
  <c r="E362" i="27" s="1"/>
  <c r="E398" i="27"/>
  <c r="F398" i="27" s="1"/>
  <c r="E360" i="27"/>
  <c r="F360" i="27" s="1"/>
  <c r="B376" i="27"/>
  <c r="C376" i="27" s="1"/>
  <c r="B378" i="27"/>
  <c r="C364" i="27"/>
  <c r="C394" i="27"/>
  <c r="E394" i="27" s="1"/>
  <c r="F394" i="27" s="1"/>
  <c r="B404" i="27"/>
  <c r="C404" i="27" s="1"/>
  <c r="B406" i="27"/>
  <c r="E364" i="27"/>
  <c r="F364" i="27" s="1"/>
  <c r="E358" i="27"/>
  <c r="F358" i="27" s="1"/>
  <c r="C352" i="27"/>
  <c r="E352" i="27" s="1"/>
  <c r="B374" i="27"/>
  <c r="B372" i="27"/>
  <c r="C356" i="27"/>
  <c r="E356" i="27" s="1"/>
  <c r="C354" i="27"/>
  <c r="E354" i="27" s="1"/>
  <c r="F354" i="27" s="1"/>
  <c r="C392" i="27"/>
  <c r="E392" i="27" s="1"/>
  <c r="C410" i="27"/>
  <c r="E384" i="27"/>
  <c r="F384" i="27" s="1"/>
  <c r="B402" i="27"/>
  <c r="B400" i="27"/>
  <c r="E396" i="27"/>
  <c r="G396" i="27" s="1"/>
  <c r="G384" i="27" l="1"/>
  <c r="F396" i="27"/>
  <c r="G366" i="27"/>
  <c r="F366" i="27"/>
  <c r="G398" i="27"/>
  <c r="G386" i="27"/>
  <c r="G362" i="27"/>
  <c r="F362" i="27"/>
  <c r="F356" i="27"/>
  <c r="G356" i="27"/>
  <c r="G352" i="27"/>
  <c r="F352" i="27"/>
  <c r="F392" i="27"/>
  <c r="G392" i="27"/>
  <c r="G354" i="27"/>
  <c r="G358" i="27"/>
  <c r="G364" i="27"/>
  <c r="F390" i="27"/>
  <c r="E404" i="27"/>
  <c r="F404" i="27" s="1"/>
  <c r="G360" i="27"/>
  <c r="G394" i="27"/>
  <c r="E408" i="27"/>
  <c r="G408" i="27" s="1"/>
  <c r="C400" i="27"/>
  <c r="E400" i="27" s="1"/>
  <c r="E368" i="27"/>
  <c r="G368" i="27" s="1"/>
  <c r="G388" i="27"/>
  <c r="D418" i="27"/>
  <c r="E418" i="27" s="1"/>
  <c r="F418" i="27" s="1"/>
  <c r="D420" i="27"/>
  <c r="E420" i="27" s="1"/>
  <c r="F420" i="27" s="1"/>
  <c r="C378" i="27"/>
  <c r="E378" i="27" s="1"/>
  <c r="G378" i="27" s="1"/>
  <c r="D421" i="27"/>
  <c r="E421" i="27" s="1"/>
  <c r="F421" i="27" s="1"/>
  <c r="D419" i="27"/>
  <c r="E419" i="27" s="1"/>
  <c r="F419" i="27" s="1"/>
  <c r="C406" i="27"/>
  <c r="E406" i="27" s="1"/>
  <c r="C374" i="27"/>
  <c r="E374" i="27" s="1"/>
  <c r="E376" i="27"/>
  <c r="F376" i="27" s="1"/>
  <c r="C402" i="27"/>
  <c r="E402" i="27" s="1"/>
  <c r="C372" i="27"/>
  <c r="E372" i="27" s="1"/>
  <c r="E410" i="27"/>
  <c r="G410" i="27" s="1"/>
  <c r="E370" i="27"/>
  <c r="G370" i="27" s="1"/>
  <c r="F368" i="27" l="1"/>
  <c r="F410" i="27"/>
  <c r="F408" i="27"/>
  <c r="G404" i="27"/>
  <c r="G374" i="27"/>
  <c r="F374" i="27"/>
  <c r="F400" i="27"/>
  <c r="G400" i="27"/>
  <c r="G406" i="27"/>
  <c r="F406" i="27"/>
  <c r="F372" i="27"/>
  <c r="G372" i="27"/>
  <c r="F402" i="27"/>
  <c r="G402" i="27"/>
  <c r="F370" i="27"/>
  <c r="G376" i="27"/>
  <c r="F378" i="27"/>
  <c r="D414" i="27"/>
  <c r="E414" i="27" s="1"/>
  <c r="F414" i="27" s="1"/>
  <c r="D416" i="27"/>
  <c r="E416" i="27" s="1"/>
  <c r="F416" i="27" s="1"/>
  <c r="D417" i="27"/>
  <c r="E417" i="27" s="1"/>
  <c r="F417" i="27" s="1"/>
  <c r="D415" i="27"/>
  <c r="E415" i="27" s="1"/>
  <c r="F415" i="27" s="1"/>
</calcChain>
</file>

<file path=xl/sharedStrings.xml><?xml version="1.0" encoding="utf-8"?>
<sst xmlns="http://schemas.openxmlformats.org/spreadsheetml/2006/main" count="1886" uniqueCount="849">
  <si>
    <t>Vertical Curve</t>
  </si>
  <si>
    <t>PVC Sta. =</t>
  </si>
  <si>
    <t>PVC Elev. =</t>
  </si>
  <si>
    <t>PVT Sta. =</t>
  </si>
  <si>
    <t>PVT Elev. =</t>
  </si>
  <si>
    <t>Define Type of Vertical Alignment --&gt;&gt;</t>
  </si>
  <si>
    <t>g1 =</t>
  </si>
  <si>
    <t>Enter the Following Required Geometry Information:</t>
  </si>
  <si>
    <t>Segment 1</t>
  </si>
  <si>
    <t>Summary of</t>
  </si>
  <si>
    <t>Vertical Alignment</t>
  </si>
  <si>
    <t>Station</t>
  </si>
  <si>
    <t>PGL Elev.</t>
  </si>
  <si>
    <t>Designed By:</t>
  </si>
  <si>
    <t>Checked By:</t>
  </si>
  <si>
    <t>Date:</t>
  </si>
  <si>
    <t>Point</t>
  </si>
  <si>
    <t>Rdwy Elev. at Point</t>
  </si>
  <si>
    <t>TOTAL =</t>
  </si>
  <si>
    <t>ft</t>
  </si>
  <si>
    <t>in</t>
  </si>
  <si>
    <t>Skew Angle (DMS) =</t>
  </si>
  <si>
    <t>Skew Angle =</t>
  </si>
  <si>
    <t>degrees</t>
  </si>
  <si>
    <t>radians</t>
  </si>
  <si>
    <t>Steel Plate =</t>
  </si>
  <si>
    <t>LF</t>
  </si>
  <si>
    <t>X-Slope</t>
  </si>
  <si>
    <t>Revised:</t>
  </si>
  <si>
    <t>Depths:</t>
  </si>
  <si>
    <t>Abutment:</t>
  </si>
  <si>
    <t>Stem (min.) =</t>
  </si>
  <si>
    <t>Footing =</t>
  </si>
  <si>
    <t>Pier:</t>
  </si>
  <si>
    <t>Load Plate =</t>
  </si>
  <si>
    <t>Cap (min.) =</t>
  </si>
  <si>
    <t>HP Pedestal =</t>
  </si>
  <si>
    <t>Bearing Pad =</t>
  </si>
  <si>
    <t>Cover (min.) =</t>
  </si>
  <si>
    <t>PGL/Crown</t>
  </si>
  <si>
    <t>Width</t>
  </si>
  <si>
    <t>Shldr</t>
  </si>
  <si>
    <t>Lane</t>
  </si>
  <si>
    <t>Gore</t>
  </si>
  <si>
    <t>Substructure Locations and Skew Angles</t>
  </si>
  <si>
    <t>Substructure Unit:</t>
  </si>
  <si>
    <t>Rear Abutment</t>
  </si>
  <si>
    <t>CL Brg Sta. =</t>
  </si>
  <si>
    <t>Forward Abutment</t>
  </si>
  <si>
    <t>Seat Elevation</t>
  </si>
  <si>
    <t>B/Footing Elevation</t>
  </si>
  <si>
    <t>B1</t>
  </si>
  <si>
    <t>B2</t>
  </si>
  <si>
    <t>B3</t>
  </si>
  <si>
    <t>B4</t>
  </si>
  <si>
    <t>B5</t>
  </si>
  <si>
    <t>B6</t>
  </si>
  <si>
    <t>B7</t>
  </si>
  <si>
    <t>Abutment Footing</t>
  </si>
  <si>
    <t>Abutment Stem</t>
  </si>
  <si>
    <t>Footing Length =</t>
  </si>
  <si>
    <t>Stem Width =</t>
  </si>
  <si>
    <t>Footing Width =</t>
  </si>
  <si>
    <t>B/Footing Elev. =</t>
  </si>
  <si>
    <t>Footing Depth =</t>
  </si>
  <si>
    <t>Ave. Stem Height =</t>
  </si>
  <si>
    <t>Footing Volume =</t>
  </si>
  <si>
    <t>cy</t>
  </si>
  <si>
    <t>Stem Volume =</t>
  </si>
  <si>
    <t>Wingwall Footing</t>
  </si>
  <si>
    <t>Number of Wingwalls</t>
  </si>
  <si>
    <t>Wall Width =</t>
  </si>
  <si>
    <t>Ave. T/Diaphrgm Elev. =</t>
  </si>
  <si>
    <t>Ave. Diaphrgm Height. =</t>
  </si>
  <si>
    <t>Diaphragm Volume =</t>
  </si>
  <si>
    <t>Number of Girders =</t>
  </si>
  <si>
    <t>(one less than total)</t>
  </si>
  <si>
    <t>Area of Girder =</t>
  </si>
  <si>
    <t>in2</t>
  </si>
  <si>
    <t>Embedded Girder =</t>
  </si>
  <si>
    <t>Volume Deduction =</t>
  </si>
  <si>
    <t>FRA-070-13.10 (Project 6A)</t>
  </si>
  <si>
    <t>Left Rail+2"</t>
  </si>
  <si>
    <t>I-70 and Ramp D3 X-Slopes</t>
  </si>
  <si>
    <t>Ramp D3 STA</t>
  </si>
  <si>
    <t>X-Slope (relative to Ramp)</t>
  </si>
  <si>
    <t>X-Slope (relative to I-70WB)</t>
  </si>
  <si>
    <t>I-70WB STA</t>
  </si>
  <si>
    <t>Table continued from above</t>
  </si>
  <si>
    <t>Table continues below</t>
  </si>
  <si>
    <t>This X-Slope table applies to 1-Lane on Ramp D3 and to Gore Width Between Ramp D3 and I-70WB Alignment</t>
  </si>
  <si>
    <t>This X-Slope table applies to 2-12' Lanes and 12' Shoulder</t>
  </si>
  <si>
    <t>2-Lanes</t>
  </si>
  <si>
    <t>Right Rail+2"</t>
  </si>
  <si>
    <t>I-70WB Vertical Alignment</t>
  </si>
  <si>
    <t>Skew angles relative to Ramp D3</t>
  </si>
  <si>
    <t>I-70 WB Horizontal Alignment Information</t>
  </si>
  <si>
    <t>P.I. STA =</t>
  </si>
  <si>
    <t>Skew angles relative to I-70 WB</t>
  </si>
  <si>
    <t>Delta Angle (DMS) =</t>
  </si>
  <si>
    <t>Delta Angle =</t>
  </si>
  <si>
    <t>Lc =</t>
  </si>
  <si>
    <t>R =</t>
  </si>
  <si>
    <t>P.C. STA =</t>
  </si>
  <si>
    <t>P.T. STA =</t>
  </si>
  <si>
    <t>C =</t>
  </si>
  <si>
    <t>M =</t>
  </si>
  <si>
    <t>E =</t>
  </si>
  <si>
    <t>T =</t>
  </si>
  <si>
    <t>Max</t>
  </si>
  <si>
    <t>Min</t>
  </si>
  <si>
    <t>Max Bridge Width =</t>
  </si>
  <si>
    <t>Min Bridge Width =</t>
  </si>
  <si>
    <t>No. Girders =</t>
  </si>
  <si>
    <t>Girder Spa =</t>
  </si>
  <si>
    <t>OH Left =</t>
  </si>
  <si>
    <t>Min OH Right =</t>
  </si>
  <si>
    <t>Max OH Right =</t>
  </si>
  <si>
    <t>Measured normal to both alignments</t>
  </si>
  <si>
    <t>ft (Rear Abut)</t>
  </si>
  <si>
    <t>ft (Fwd Abut)</t>
  </si>
  <si>
    <t>ft Measured normal to Ramp Alignment and Left Deck Edge</t>
  </si>
  <si>
    <t>ft Measured normal to I-70WB Alignment and Right Deck Edge at Rear Abut</t>
  </si>
  <si>
    <t>ft Measured normal to I-70WB Alignment and Right Deck Edge at Fwd Abut</t>
  </si>
  <si>
    <t>RF</t>
  </si>
  <si>
    <t>P.T. STA on Ramp D3 =</t>
  </si>
  <si>
    <t>PGL/Crown I-70 WB</t>
  </si>
  <si>
    <t>PGL Ramp D3</t>
  </si>
  <si>
    <t>X-Slope on I-70 WB</t>
  </si>
  <si>
    <t>Along Girder CL</t>
  </si>
  <si>
    <t>Point of Interest:</t>
  </si>
  <si>
    <t>Girder Camber &amp; Haunches</t>
  </si>
  <si>
    <t>MRM</t>
  </si>
  <si>
    <t>Total</t>
  </si>
  <si>
    <t xml:space="preserve">ft </t>
  </si>
  <si>
    <t>Approach Slab Depth =</t>
  </si>
  <si>
    <t>Total:</t>
  </si>
  <si>
    <t>Stem Length =</t>
  </si>
  <si>
    <t>FRA-70-13.10 (Project 6A)</t>
  </si>
  <si>
    <t>Bridge No.: FRA-70-1373L</t>
  </si>
  <si>
    <t>I-70 WB Bridge Over Short Street</t>
  </si>
  <si>
    <t xml:space="preserve">ABUTMENT PILE LOADS - ALTERNATIVE 1 </t>
  </si>
  <si>
    <t>REAR ABUTMENT</t>
  </si>
  <si>
    <t>FORWARD ABUTMENT</t>
  </si>
  <si>
    <t>Abutment Length (width measured along skew of abutment, outside of wingwall to EB Bridge) =</t>
  </si>
  <si>
    <t>Number of Beam Lines =</t>
  </si>
  <si>
    <t>Beam Height=</t>
  </si>
  <si>
    <t>in.</t>
  </si>
  <si>
    <t>Brg. to Brg. Length (ft) =</t>
  </si>
  <si>
    <t>Entire Bridge Width (entered in Conspan) =</t>
  </si>
  <si>
    <t>(Max.)</t>
  </si>
  <si>
    <t>Number of Live Load Design Lanes =</t>
  </si>
  <si>
    <t xml:space="preserve">Length of Approach Slab = </t>
  </si>
  <si>
    <t xml:space="preserve">Width of Approach Slab = </t>
  </si>
  <si>
    <t>Abutment Section Geometry:</t>
  </si>
  <si>
    <t>Measured normal to CL Abutment</t>
  </si>
  <si>
    <r>
      <t>X</t>
    </r>
    <r>
      <rPr>
        <vertAlign val="subscript"/>
        <sz val="10"/>
        <color theme="1"/>
        <rFont val="Arial"/>
        <family val="2"/>
      </rPr>
      <t>ftg.</t>
    </r>
    <r>
      <rPr>
        <sz val="10"/>
        <rFont val="Arial"/>
        <family val="2"/>
      </rPr>
      <t xml:space="preserve"> = </t>
    </r>
  </si>
  <si>
    <t>ft.</t>
  </si>
  <si>
    <r>
      <t>X</t>
    </r>
    <r>
      <rPr>
        <vertAlign val="subscript"/>
        <sz val="10"/>
        <color theme="1"/>
        <rFont val="Arial"/>
        <family val="2"/>
      </rPr>
      <t>toe</t>
    </r>
    <r>
      <rPr>
        <sz val="10"/>
        <rFont val="Arial"/>
        <family val="2"/>
      </rPr>
      <t xml:space="preserve"> = </t>
    </r>
  </si>
  <si>
    <r>
      <t>X</t>
    </r>
    <r>
      <rPr>
        <vertAlign val="subscript"/>
        <sz val="10"/>
        <color theme="1"/>
        <rFont val="Arial"/>
        <family val="2"/>
      </rPr>
      <t>heel</t>
    </r>
    <r>
      <rPr>
        <sz val="10"/>
        <rFont val="Arial"/>
        <family val="2"/>
      </rPr>
      <t xml:space="preserve"> = </t>
    </r>
  </si>
  <si>
    <r>
      <t>X</t>
    </r>
    <r>
      <rPr>
        <vertAlign val="subscript"/>
        <sz val="10"/>
        <color theme="1"/>
        <rFont val="Arial"/>
        <family val="2"/>
      </rPr>
      <t>stem</t>
    </r>
    <r>
      <rPr>
        <sz val="10"/>
        <rFont val="Arial"/>
        <family val="2"/>
      </rPr>
      <t xml:space="preserve"> = </t>
    </r>
  </si>
  <si>
    <r>
      <t>X</t>
    </r>
    <r>
      <rPr>
        <vertAlign val="subscript"/>
        <sz val="10"/>
        <color theme="1"/>
        <rFont val="Arial"/>
        <family val="2"/>
      </rPr>
      <t>brg.</t>
    </r>
    <r>
      <rPr>
        <sz val="10"/>
        <rFont val="Arial"/>
        <family val="2"/>
      </rPr>
      <t xml:space="preserve"> = </t>
    </r>
  </si>
  <si>
    <r>
      <t>X</t>
    </r>
    <r>
      <rPr>
        <vertAlign val="subscript"/>
        <sz val="10"/>
        <color theme="1"/>
        <rFont val="Arial"/>
        <family val="2"/>
      </rPr>
      <t>1</t>
    </r>
    <r>
      <rPr>
        <sz val="10"/>
        <rFont val="Arial"/>
        <family val="2"/>
      </rPr>
      <t xml:space="preserve"> = </t>
    </r>
  </si>
  <si>
    <r>
      <t>X</t>
    </r>
    <r>
      <rPr>
        <vertAlign val="subscript"/>
        <sz val="10"/>
        <color theme="1"/>
        <rFont val="Arial"/>
        <family val="2"/>
      </rPr>
      <t>2</t>
    </r>
    <r>
      <rPr>
        <sz val="10"/>
        <rFont val="Arial"/>
        <family val="2"/>
      </rPr>
      <t xml:space="preserve"> = </t>
    </r>
  </si>
  <si>
    <r>
      <t>Y</t>
    </r>
    <r>
      <rPr>
        <vertAlign val="subscript"/>
        <sz val="10"/>
        <color theme="1"/>
        <rFont val="Arial"/>
        <family val="2"/>
      </rPr>
      <t>ftg.</t>
    </r>
    <r>
      <rPr>
        <sz val="10"/>
        <rFont val="Arial"/>
        <family val="2"/>
      </rPr>
      <t xml:space="preserve"> = </t>
    </r>
  </si>
  <si>
    <r>
      <t>Y</t>
    </r>
    <r>
      <rPr>
        <vertAlign val="subscript"/>
        <sz val="10"/>
        <color theme="1"/>
        <rFont val="Arial"/>
        <family val="2"/>
      </rPr>
      <t>stem</t>
    </r>
    <r>
      <rPr>
        <sz val="10"/>
        <rFont val="Arial"/>
        <family val="2"/>
      </rPr>
      <t xml:space="preserve"> = </t>
    </r>
  </si>
  <si>
    <r>
      <t>Y</t>
    </r>
    <r>
      <rPr>
        <vertAlign val="subscript"/>
        <sz val="10"/>
        <color theme="1"/>
        <rFont val="Arial"/>
        <family val="2"/>
      </rPr>
      <t>brg.</t>
    </r>
    <r>
      <rPr>
        <sz val="10"/>
        <rFont val="Arial"/>
        <family val="2"/>
      </rPr>
      <t xml:space="preserve"> = </t>
    </r>
  </si>
  <si>
    <r>
      <t>Y</t>
    </r>
    <r>
      <rPr>
        <vertAlign val="subscript"/>
        <sz val="10"/>
        <color theme="1"/>
        <rFont val="Arial"/>
        <family val="2"/>
      </rPr>
      <t>diaph.</t>
    </r>
    <r>
      <rPr>
        <sz val="10"/>
        <rFont val="Arial"/>
        <family val="2"/>
      </rPr>
      <t xml:space="preserve"> = </t>
    </r>
  </si>
  <si>
    <r>
      <t>Y</t>
    </r>
    <r>
      <rPr>
        <vertAlign val="subscript"/>
        <sz val="10"/>
        <color theme="1"/>
        <rFont val="Arial"/>
        <family val="2"/>
      </rPr>
      <t>appr.</t>
    </r>
    <r>
      <rPr>
        <sz val="10"/>
        <rFont val="Arial"/>
        <family val="2"/>
      </rPr>
      <t xml:space="preserve"> = </t>
    </r>
  </si>
  <si>
    <t>Summary of Vertical Loads:</t>
  </si>
  <si>
    <t>Abutment Self Wt. Load:</t>
  </si>
  <si>
    <t>Concrete Unit Wt. =</t>
  </si>
  <si>
    <t>pcf</t>
  </si>
  <si>
    <t>Location of Centroid of This Area (from toe):</t>
  </si>
  <si>
    <r>
      <t>Abut. Footing Area = x</t>
    </r>
    <r>
      <rPr>
        <vertAlign val="subscript"/>
        <sz val="10"/>
        <color theme="1"/>
        <rFont val="Arial"/>
        <family val="2"/>
      </rPr>
      <t>ftg.</t>
    </r>
    <r>
      <rPr>
        <sz val="10"/>
        <rFont val="Arial"/>
        <family val="2"/>
      </rPr>
      <t xml:space="preserve"> * y</t>
    </r>
    <r>
      <rPr>
        <vertAlign val="subscript"/>
        <sz val="10"/>
        <color theme="1"/>
        <rFont val="Arial"/>
        <family val="2"/>
      </rPr>
      <t>ftg.</t>
    </r>
    <r>
      <rPr>
        <sz val="10"/>
        <rFont val="Arial"/>
        <family val="2"/>
      </rPr>
      <t xml:space="preserve"> =</t>
    </r>
  </si>
  <si>
    <t>sf</t>
  </si>
  <si>
    <r>
      <t>x'</t>
    </r>
    <r>
      <rPr>
        <vertAlign val="subscript"/>
        <sz val="10"/>
        <color theme="1"/>
        <rFont val="Arial"/>
        <family val="2"/>
      </rPr>
      <t>ftg.</t>
    </r>
    <r>
      <rPr>
        <sz val="10"/>
        <rFont val="Arial"/>
        <family val="2"/>
      </rPr>
      <t xml:space="preserve"> =</t>
    </r>
  </si>
  <si>
    <r>
      <t>Abut. Stem Area = x</t>
    </r>
    <r>
      <rPr>
        <vertAlign val="subscript"/>
        <sz val="10"/>
        <color theme="1"/>
        <rFont val="Arial"/>
        <family val="2"/>
      </rPr>
      <t>stem</t>
    </r>
    <r>
      <rPr>
        <sz val="10"/>
        <rFont val="Arial"/>
        <family val="2"/>
      </rPr>
      <t xml:space="preserve"> * y</t>
    </r>
    <r>
      <rPr>
        <vertAlign val="subscript"/>
        <sz val="10"/>
        <color theme="1"/>
        <rFont val="Arial"/>
        <family val="2"/>
      </rPr>
      <t>stem</t>
    </r>
    <r>
      <rPr>
        <sz val="10"/>
        <rFont val="Arial"/>
        <family val="2"/>
      </rPr>
      <t xml:space="preserve"> =</t>
    </r>
  </si>
  <si>
    <r>
      <t>x'</t>
    </r>
    <r>
      <rPr>
        <vertAlign val="subscript"/>
        <sz val="10"/>
        <color theme="1"/>
        <rFont val="Arial"/>
        <family val="2"/>
      </rPr>
      <t>stem</t>
    </r>
    <r>
      <rPr>
        <sz val="10"/>
        <rFont val="Arial"/>
        <family val="2"/>
      </rPr>
      <t xml:space="preserve"> =</t>
    </r>
  </si>
  <si>
    <r>
      <t>Diaph. Area= x</t>
    </r>
    <r>
      <rPr>
        <vertAlign val="subscript"/>
        <sz val="10"/>
        <color theme="1"/>
        <rFont val="Arial"/>
        <family val="2"/>
      </rPr>
      <t>stem</t>
    </r>
    <r>
      <rPr>
        <sz val="10"/>
        <rFont val="Arial"/>
        <family val="2"/>
      </rPr>
      <t xml:space="preserve"> * y</t>
    </r>
    <r>
      <rPr>
        <vertAlign val="subscript"/>
        <sz val="10"/>
        <color theme="1"/>
        <rFont val="Arial"/>
        <family val="2"/>
      </rPr>
      <t>diaph.</t>
    </r>
    <r>
      <rPr>
        <sz val="10"/>
        <rFont val="Arial"/>
        <family val="2"/>
      </rPr>
      <t xml:space="preserve"> =</t>
    </r>
  </si>
  <si>
    <r>
      <t>x'</t>
    </r>
    <r>
      <rPr>
        <vertAlign val="subscript"/>
        <sz val="10"/>
        <color theme="1"/>
        <rFont val="Arial"/>
        <family val="2"/>
      </rPr>
      <t>diaph.</t>
    </r>
    <r>
      <rPr>
        <sz val="10"/>
        <rFont val="Arial"/>
        <family val="2"/>
      </rPr>
      <t xml:space="preserve"> =</t>
    </r>
  </si>
  <si>
    <t xml:space="preserve">Diaph. Wt = </t>
  </si>
  <si>
    <t>klf</t>
  </si>
  <si>
    <t>Reaction =</t>
  </si>
  <si>
    <t xml:space="preserve">k/beam </t>
  </si>
  <si>
    <t>(Transfer reaction Bearing Design)</t>
  </si>
  <si>
    <r>
      <t>V</t>
    </r>
    <r>
      <rPr>
        <vertAlign val="subscript"/>
        <sz val="10"/>
        <color theme="1"/>
        <rFont val="Arial"/>
        <family val="2"/>
      </rPr>
      <t>sw</t>
    </r>
    <r>
      <rPr>
        <sz val="10"/>
        <rFont val="Arial"/>
        <family val="2"/>
      </rPr>
      <t xml:space="preserve"> = Service I (DC) Abut. Self-Wt. Load =</t>
    </r>
  </si>
  <si>
    <r>
      <t>x'</t>
    </r>
    <r>
      <rPr>
        <vertAlign val="subscript"/>
        <sz val="10"/>
        <color theme="1"/>
        <rFont val="Arial"/>
        <family val="2"/>
      </rPr>
      <t>abut.sw</t>
    </r>
    <r>
      <rPr>
        <sz val="10"/>
        <rFont val="Arial"/>
        <family val="2"/>
      </rPr>
      <t xml:space="preserve"> =</t>
    </r>
  </si>
  <si>
    <t>Vertical Earth Load on Heel of Abutment Footing:</t>
  </si>
  <si>
    <t>Soil Unit Wt. =</t>
  </si>
  <si>
    <r>
      <t>H</t>
    </r>
    <r>
      <rPr>
        <vertAlign val="subscript"/>
        <sz val="10"/>
        <color theme="1"/>
        <rFont val="Arial"/>
        <family val="2"/>
      </rPr>
      <t>soil</t>
    </r>
    <r>
      <rPr>
        <sz val="10"/>
        <rFont val="Arial"/>
        <family val="2"/>
      </rPr>
      <t xml:space="preserve"> = Soil Height Above Ftg. Heel =</t>
    </r>
  </si>
  <si>
    <r>
      <t>X</t>
    </r>
    <r>
      <rPr>
        <vertAlign val="subscript"/>
        <sz val="10"/>
        <color theme="1"/>
        <rFont val="Arial"/>
        <family val="2"/>
      </rPr>
      <t>soil</t>
    </r>
    <r>
      <rPr>
        <sz val="10"/>
        <rFont val="Arial"/>
        <family val="2"/>
      </rPr>
      <t xml:space="preserve"> = Soil Width Above Ftg. Heel =</t>
    </r>
  </si>
  <si>
    <r>
      <t>V</t>
    </r>
    <r>
      <rPr>
        <vertAlign val="subscript"/>
        <sz val="10"/>
        <color theme="1"/>
        <rFont val="Arial"/>
        <family val="2"/>
      </rPr>
      <t>EV</t>
    </r>
    <r>
      <rPr>
        <sz val="10"/>
        <rFont val="Arial"/>
        <family val="2"/>
      </rPr>
      <t xml:space="preserve"> = Service I (EV) Vertical Earth Load =</t>
    </r>
  </si>
  <si>
    <r>
      <t>x'</t>
    </r>
    <r>
      <rPr>
        <vertAlign val="subscript"/>
        <sz val="10"/>
        <color theme="1"/>
        <rFont val="Arial"/>
        <family val="2"/>
      </rPr>
      <t>EV</t>
    </r>
    <r>
      <rPr>
        <sz val="10"/>
        <rFont val="Arial"/>
        <family val="2"/>
      </rPr>
      <t xml:space="preserve"> =</t>
    </r>
  </si>
  <si>
    <t>Vertical Superstructure Loads (from Conspan Analysis):</t>
  </si>
  <si>
    <t>Summary of Service I Reactions</t>
  </si>
  <si>
    <t>(DC) Beam Self-Wt. =</t>
  </si>
  <si>
    <t>k / beam</t>
  </si>
  <si>
    <t>(DC) Deck + Haunch =</t>
  </si>
  <si>
    <t>(DC) Diaphragm Load =</t>
  </si>
  <si>
    <t>(DC) DL Pre-Composite =</t>
  </si>
  <si>
    <t>(DC) DL Approach Slab =</t>
  </si>
  <si>
    <t>k / abut.</t>
  </si>
  <si>
    <t>(DC) Barrier - DL Composite (DC) =</t>
  </si>
  <si>
    <t>(DW) FWS - DL Composite (DW) =</t>
  </si>
  <si>
    <t>(LL) Live Load on Bridge (w/out Impact) =</t>
  </si>
  <si>
    <t>k / lane</t>
  </si>
  <si>
    <t>AASHTO Table 3.6.1.1.2-1</t>
  </si>
  <si>
    <r>
      <t xml:space="preserve">Rear Abut. Total Live Load Reaction from </t>
    </r>
    <r>
      <rPr>
        <b/>
        <sz val="10"/>
        <color theme="1"/>
        <rFont val="Arial"/>
        <family val="2"/>
      </rPr>
      <t>Live Load on Bridge</t>
    </r>
    <r>
      <rPr>
        <sz val="10"/>
        <rFont val="Arial"/>
        <family val="2"/>
      </rPr>
      <t xml:space="preserve"> (kips)</t>
    </r>
  </si>
  <si>
    <r>
      <t xml:space="preserve">Fwd. Abut. Total Live Load Reaction from </t>
    </r>
    <r>
      <rPr>
        <b/>
        <sz val="10"/>
        <color theme="1"/>
        <rFont val="Arial"/>
        <family val="2"/>
      </rPr>
      <t>Live Load on Bridge</t>
    </r>
    <r>
      <rPr>
        <sz val="10"/>
        <rFont val="Arial"/>
        <family val="2"/>
      </rPr>
      <t xml:space="preserve"> (kips)</t>
    </r>
  </si>
  <si>
    <t>Number of Loaded Lanes</t>
  </si>
  <si>
    <r>
      <t xml:space="preserve">Multiple Presence Factors, </t>
    </r>
    <r>
      <rPr>
        <i/>
        <sz val="10"/>
        <color theme="1"/>
        <rFont val="Arial"/>
        <family val="2"/>
      </rPr>
      <t>m</t>
    </r>
  </si>
  <si>
    <t>Maximum Total  Live Load =</t>
  </si>
  <si>
    <r>
      <t xml:space="preserve">Rear Abut. Total Live Load Reaction from </t>
    </r>
    <r>
      <rPr>
        <b/>
        <sz val="10"/>
        <color theme="1"/>
        <rFont val="Arial"/>
        <family val="2"/>
      </rPr>
      <t xml:space="preserve">Live Load on Approach Slab </t>
    </r>
    <r>
      <rPr>
        <sz val="10"/>
        <rFont val="Arial"/>
        <family val="2"/>
      </rPr>
      <t>(kips)</t>
    </r>
  </si>
  <si>
    <r>
      <t xml:space="preserve">Fwd. Abut. Total Live Load Reaction from </t>
    </r>
    <r>
      <rPr>
        <b/>
        <sz val="10"/>
        <color theme="1"/>
        <rFont val="Arial"/>
        <family val="2"/>
      </rPr>
      <t xml:space="preserve">Live Load on Approach Slab </t>
    </r>
    <r>
      <rPr>
        <sz val="10"/>
        <rFont val="Arial"/>
        <family val="2"/>
      </rPr>
      <t>(kips)</t>
    </r>
  </si>
  <si>
    <t>Summary of Estimated Service Vertical Superstructure Loads Acting on Abutment:</t>
  </si>
  <si>
    <t>Load Description</t>
  </si>
  <si>
    <r>
      <t>V</t>
    </r>
    <r>
      <rPr>
        <vertAlign val="subscript"/>
        <sz val="10"/>
        <color theme="1"/>
        <rFont val="Arial"/>
        <family val="2"/>
      </rPr>
      <t>SUP_DC</t>
    </r>
  </si>
  <si>
    <t>Beams</t>
  </si>
  <si>
    <t>Deck + Haunch</t>
  </si>
  <si>
    <t>Diaphragms</t>
  </si>
  <si>
    <t>Barrier</t>
  </si>
  <si>
    <t>Approach Slab</t>
  </si>
  <si>
    <r>
      <t>V</t>
    </r>
    <r>
      <rPr>
        <vertAlign val="subscript"/>
        <sz val="10"/>
        <color theme="1"/>
        <rFont val="Arial"/>
        <family val="2"/>
      </rPr>
      <t>SUP_DW</t>
    </r>
  </si>
  <si>
    <t>Future Wearing Surface</t>
  </si>
  <si>
    <r>
      <t>V</t>
    </r>
    <r>
      <rPr>
        <vertAlign val="subscript"/>
        <sz val="10"/>
        <color theme="1"/>
        <rFont val="Arial"/>
        <family val="2"/>
      </rPr>
      <t>LL</t>
    </r>
  </si>
  <si>
    <t>Live Load - Bridge</t>
  </si>
  <si>
    <t>Live Load - Approach Slab</t>
  </si>
  <si>
    <t>Summary of Service Vertical Loads and Resulting Moments Acting on Abutment:</t>
  </si>
  <si>
    <r>
      <rPr>
        <b/>
        <sz val="10"/>
        <color theme="1"/>
        <rFont val="Arial"/>
        <family val="2"/>
      </rPr>
      <t>Moment Arm</t>
    </r>
    <r>
      <rPr>
        <sz val="10"/>
        <rFont val="Arial"/>
        <family val="2"/>
      </rPr>
      <t xml:space="preserve"> (for moment about toe of ftg)</t>
    </r>
  </si>
  <si>
    <t>Load</t>
  </si>
  <si>
    <t>Moment</t>
  </si>
  <si>
    <r>
      <t>V</t>
    </r>
    <r>
      <rPr>
        <vertAlign val="subscript"/>
        <sz val="10"/>
        <color theme="1"/>
        <rFont val="Arial"/>
        <family val="2"/>
      </rPr>
      <t>SW</t>
    </r>
    <r>
      <rPr>
        <sz val="10"/>
        <rFont val="Arial"/>
        <family val="2"/>
      </rPr>
      <t xml:space="preserve"> - Abut. Self Wt.</t>
    </r>
  </si>
  <si>
    <r>
      <t>x'</t>
    </r>
    <r>
      <rPr>
        <vertAlign val="subscript"/>
        <sz val="10"/>
        <color theme="1"/>
        <rFont val="Arial"/>
        <family val="2"/>
      </rPr>
      <t>abut. sw</t>
    </r>
    <r>
      <rPr>
        <sz val="10"/>
        <rFont val="Arial"/>
        <family val="2"/>
      </rPr>
      <t xml:space="preserve"> =</t>
    </r>
  </si>
  <si>
    <r>
      <t>V</t>
    </r>
    <r>
      <rPr>
        <vertAlign val="subscript"/>
        <sz val="10"/>
        <color theme="1"/>
        <rFont val="Arial"/>
        <family val="2"/>
      </rPr>
      <t>EV</t>
    </r>
    <r>
      <rPr>
        <sz val="10"/>
        <rFont val="Arial"/>
        <family val="2"/>
      </rPr>
      <t xml:space="preserve"> - Vert. Earth Load</t>
    </r>
  </si>
  <si>
    <r>
      <t>V</t>
    </r>
    <r>
      <rPr>
        <vertAlign val="subscript"/>
        <sz val="10"/>
        <color theme="1"/>
        <rFont val="Arial"/>
        <family val="2"/>
      </rPr>
      <t>SUP_DC</t>
    </r>
    <r>
      <rPr>
        <sz val="10"/>
        <rFont val="Arial"/>
        <family val="2"/>
      </rPr>
      <t xml:space="preserve"> - Superstr DC</t>
    </r>
  </si>
  <si>
    <r>
      <t>x'</t>
    </r>
    <r>
      <rPr>
        <vertAlign val="subscript"/>
        <sz val="10"/>
        <color theme="1"/>
        <rFont val="Arial"/>
        <family val="2"/>
      </rPr>
      <t>SUP_DC</t>
    </r>
    <r>
      <rPr>
        <sz val="10"/>
        <rFont val="Arial"/>
        <family val="2"/>
      </rPr>
      <t xml:space="preserve"> =</t>
    </r>
  </si>
  <si>
    <r>
      <t>V</t>
    </r>
    <r>
      <rPr>
        <vertAlign val="subscript"/>
        <sz val="10"/>
        <color theme="1"/>
        <rFont val="Arial"/>
        <family val="2"/>
      </rPr>
      <t>SUP_DW</t>
    </r>
    <r>
      <rPr>
        <sz val="10"/>
        <rFont val="Arial"/>
        <family val="2"/>
      </rPr>
      <t xml:space="preserve"> - Superstr DW</t>
    </r>
  </si>
  <si>
    <r>
      <t>x'</t>
    </r>
    <r>
      <rPr>
        <vertAlign val="subscript"/>
        <sz val="10"/>
        <color theme="1"/>
        <rFont val="Arial"/>
        <family val="2"/>
      </rPr>
      <t>SUP_DW</t>
    </r>
    <r>
      <rPr>
        <sz val="10"/>
        <rFont val="Arial"/>
        <family val="2"/>
      </rPr>
      <t xml:space="preserve"> =</t>
    </r>
  </si>
  <si>
    <r>
      <t>V</t>
    </r>
    <r>
      <rPr>
        <vertAlign val="subscript"/>
        <sz val="10"/>
        <color theme="1"/>
        <rFont val="Arial"/>
        <family val="2"/>
      </rPr>
      <t>LL</t>
    </r>
    <r>
      <rPr>
        <sz val="10"/>
        <rFont val="Arial"/>
        <family val="2"/>
      </rPr>
      <t xml:space="preserve"> - Live Load - Bridge</t>
    </r>
  </si>
  <si>
    <r>
      <t>x'</t>
    </r>
    <r>
      <rPr>
        <vertAlign val="subscript"/>
        <sz val="10"/>
        <color theme="1"/>
        <rFont val="Arial"/>
        <family val="2"/>
      </rPr>
      <t>LL</t>
    </r>
    <r>
      <rPr>
        <sz val="10"/>
        <rFont val="Arial"/>
        <family val="2"/>
      </rPr>
      <t xml:space="preserve"> =</t>
    </r>
  </si>
  <si>
    <r>
      <t>V</t>
    </r>
    <r>
      <rPr>
        <vertAlign val="subscript"/>
        <sz val="10"/>
        <color theme="1"/>
        <rFont val="Arial"/>
        <family val="2"/>
      </rPr>
      <t>LL</t>
    </r>
    <r>
      <rPr>
        <sz val="10"/>
        <rFont val="Arial"/>
        <family val="2"/>
      </rPr>
      <t xml:space="preserve"> - Live Load - Appr. Slab</t>
    </r>
  </si>
  <si>
    <t>Summary of Horizontal Loads:</t>
  </si>
  <si>
    <r>
      <t>Horizontal Earth Pressure Load (H</t>
    </r>
    <r>
      <rPr>
        <i/>
        <vertAlign val="subscript"/>
        <sz val="10"/>
        <color theme="1"/>
        <rFont val="Arial"/>
        <family val="2"/>
      </rPr>
      <t>EH</t>
    </r>
    <r>
      <rPr>
        <i/>
        <sz val="10"/>
        <color theme="1"/>
        <rFont val="Arial"/>
        <family val="2"/>
      </rPr>
      <t>):</t>
    </r>
  </si>
  <si>
    <r>
      <t>Coeff. of At-Rest Lat. Earth Press., k</t>
    </r>
    <r>
      <rPr>
        <vertAlign val="subscript"/>
        <sz val="10"/>
        <color theme="1"/>
        <rFont val="Arial"/>
        <family val="2"/>
      </rPr>
      <t>o</t>
    </r>
    <r>
      <rPr>
        <sz val="10"/>
        <rFont val="Arial"/>
        <family val="2"/>
      </rPr>
      <t xml:space="preserve"> =</t>
    </r>
  </si>
  <si>
    <r>
      <t xml:space="preserve">Equivalent Fluid Pressure for At-Rest Lat. Earth Press., </t>
    </r>
    <r>
      <rPr>
        <sz val="10"/>
        <color theme="1"/>
        <rFont val="Symbol"/>
        <family val="1"/>
        <charset val="2"/>
      </rPr>
      <t>g</t>
    </r>
    <r>
      <rPr>
        <sz val="10"/>
        <rFont val="Arial"/>
        <family val="2"/>
      </rPr>
      <t>ko =</t>
    </r>
  </si>
  <si>
    <r>
      <t>k/ft</t>
    </r>
    <r>
      <rPr>
        <vertAlign val="superscript"/>
        <sz val="10"/>
        <color theme="1"/>
        <rFont val="Arial"/>
        <family val="2"/>
      </rPr>
      <t>3</t>
    </r>
  </si>
  <si>
    <r>
      <t>H</t>
    </r>
    <r>
      <rPr>
        <vertAlign val="subscript"/>
        <sz val="10"/>
        <color theme="1"/>
        <rFont val="Arial"/>
        <family val="2"/>
      </rPr>
      <t>A</t>
    </r>
    <r>
      <rPr>
        <sz val="10"/>
        <rFont val="Arial"/>
        <family val="2"/>
      </rPr>
      <t xml:space="preserve"> = </t>
    </r>
    <r>
      <rPr>
        <sz val="10"/>
        <color theme="1"/>
        <rFont val="Symbol"/>
        <family val="1"/>
        <charset val="2"/>
      </rPr>
      <t>g</t>
    </r>
    <r>
      <rPr>
        <sz val="10"/>
        <rFont val="Arial"/>
        <family val="2"/>
      </rPr>
      <t>k</t>
    </r>
    <r>
      <rPr>
        <vertAlign val="subscript"/>
        <sz val="10"/>
        <color theme="1"/>
        <rFont val="Arial"/>
        <family val="2"/>
      </rPr>
      <t>o</t>
    </r>
    <r>
      <rPr>
        <sz val="10"/>
        <rFont val="Arial"/>
        <family val="2"/>
      </rPr>
      <t xml:space="preserve"> * (</t>
    </r>
    <r>
      <rPr>
        <sz val="10"/>
        <rFont val="Arial"/>
        <family val="2"/>
      </rPr>
      <t>Y</t>
    </r>
    <r>
      <rPr>
        <vertAlign val="subscript"/>
        <sz val="10"/>
        <color theme="1"/>
        <rFont val="Arial"/>
        <family val="2"/>
      </rPr>
      <t>brg.</t>
    </r>
    <r>
      <rPr>
        <sz val="10"/>
        <rFont val="Arial"/>
        <family val="2"/>
      </rPr>
      <t xml:space="preserve"> +Y</t>
    </r>
    <r>
      <rPr>
        <vertAlign val="subscript"/>
        <sz val="10"/>
        <color theme="1"/>
        <rFont val="Arial"/>
        <family val="2"/>
      </rPr>
      <t>diaph.</t>
    </r>
    <r>
      <rPr>
        <sz val="10"/>
        <rFont val="Arial"/>
        <family val="2"/>
      </rPr>
      <t>). =</t>
    </r>
  </si>
  <si>
    <t>ksf</t>
  </si>
  <si>
    <r>
      <t>H</t>
    </r>
    <r>
      <rPr>
        <vertAlign val="subscript"/>
        <sz val="10"/>
        <color theme="1"/>
        <rFont val="Arial"/>
        <family val="2"/>
      </rPr>
      <t>B</t>
    </r>
    <r>
      <rPr>
        <sz val="10"/>
        <rFont val="Arial"/>
        <family val="2"/>
      </rPr>
      <t xml:space="preserve"> = </t>
    </r>
    <r>
      <rPr>
        <sz val="10"/>
        <color theme="1"/>
        <rFont val="Symbol"/>
        <family val="1"/>
        <charset val="2"/>
      </rPr>
      <t>g</t>
    </r>
    <r>
      <rPr>
        <sz val="10"/>
        <rFont val="Arial"/>
        <family val="2"/>
      </rPr>
      <t>k</t>
    </r>
    <r>
      <rPr>
        <vertAlign val="subscript"/>
        <sz val="10"/>
        <color theme="1"/>
        <rFont val="Arial"/>
        <family val="2"/>
      </rPr>
      <t>o</t>
    </r>
    <r>
      <rPr>
        <sz val="10"/>
        <rFont val="Arial"/>
        <family val="2"/>
      </rPr>
      <t xml:space="preserve"> * (Y</t>
    </r>
    <r>
      <rPr>
        <vertAlign val="subscript"/>
        <sz val="10"/>
        <color theme="1"/>
        <rFont val="Arial"/>
        <family val="2"/>
      </rPr>
      <t>ftg.</t>
    </r>
    <r>
      <rPr>
        <sz val="10"/>
        <rFont val="Arial"/>
        <family val="2"/>
      </rPr>
      <t xml:space="preserve"> + Y</t>
    </r>
    <r>
      <rPr>
        <vertAlign val="subscript"/>
        <sz val="10"/>
        <color theme="1"/>
        <rFont val="Arial"/>
        <family val="2"/>
      </rPr>
      <t>stem</t>
    </r>
    <r>
      <rPr>
        <sz val="10"/>
        <rFont val="Arial"/>
        <family val="2"/>
      </rPr>
      <t xml:space="preserve"> + Y</t>
    </r>
    <r>
      <rPr>
        <vertAlign val="subscript"/>
        <sz val="10"/>
        <color theme="1"/>
        <rFont val="Arial"/>
        <family val="2"/>
      </rPr>
      <t>brg.</t>
    </r>
    <r>
      <rPr>
        <sz val="10"/>
        <rFont val="Arial"/>
        <family val="2"/>
      </rPr>
      <t xml:space="preserve"> + Y</t>
    </r>
    <r>
      <rPr>
        <vertAlign val="subscript"/>
        <sz val="10"/>
        <color theme="1"/>
        <rFont val="Arial"/>
        <family val="2"/>
      </rPr>
      <t>diaph.</t>
    </r>
    <r>
      <rPr>
        <sz val="10"/>
        <rFont val="Arial"/>
        <family val="2"/>
      </rPr>
      <t>) =</t>
    </r>
  </si>
  <si>
    <r>
      <t>Abutment Height, h = Y</t>
    </r>
    <r>
      <rPr>
        <vertAlign val="subscript"/>
        <sz val="10"/>
        <color theme="1"/>
        <rFont val="Arial"/>
        <family val="2"/>
      </rPr>
      <t>ftg.</t>
    </r>
    <r>
      <rPr>
        <sz val="10"/>
        <rFont val="Arial"/>
        <family val="2"/>
      </rPr>
      <t xml:space="preserve"> + Y</t>
    </r>
    <r>
      <rPr>
        <vertAlign val="subscript"/>
        <sz val="10"/>
        <color theme="1"/>
        <rFont val="Arial"/>
        <family val="2"/>
      </rPr>
      <t>stem</t>
    </r>
    <r>
      <rPr>
        <sz val="10"/>
        <rFont val="Arial"/>
        <family val="2"/>
      </rPr>
      <t xml:space="preserve"> + Y</t>
    </r>
    <r>
      <rPr>
        <vertAlign val="subscript"/>
        <sz val="10"/>
        <color theme="1"/>
        <rFont val="Arial"/>
        <family val="2"/>
      </rPr>
      <t>brg.</t>
    </r>
    <r>
      <rPr>
        <sz val="10"/>
        <rFont val="Arial"/>
        <family val="2"/>
      </rPr>
      <t xml:space="preserve"> + Y</t>
    </r>
    <r>
      <rPr>
        <vertAlign val="subscript"/>
        <sz val="10"/>
        <color theme="1"/>
        <rFont val="Arial"/>
        <family val="2"/>
      </rPr>
      <t>diaph.</t>
    </r>
    <r>
      <rPr>
        <sz val="10"/>
        <rFont val="Arial"/>
        <family val="2"/>
      </rPr>
      <t xml:space="preserve"> =</t>
    </r>
  </si>
  <si>
    <r>
      <t>H</t>
    </r>
    <r>
      <rPr>
        <vertAlign val="subscript"/>
        <sz val="10"/>
        <color theme="1"/>
        <rFont val="Arial"/>
        <family val="2"/>
      </rPr>
      <t>EH</t>
    </r>
    <r>
      <rPr>
        <sz val="10"/>
        <rFont val="Arial"/>
        <family val="2"/>
      </rPr>
      <t xml:space="preserve"> = [(H</t>
    </r>
    <r>
      <rPr>
        <vertAlign val="subscript"/>
        <sz val="10"/>
        <color theme="1"/>
        <rFont val="Arial"/>
        <family val="2"/>
      </rPr>
      <t>A</t>
    </r>
    <r>
      <rPr>
        <sz val="10"/>
        <rFont val="Arial"/>
        <family val="2"/>
      </rPr>
      <t xml:space="preserve"> +H</t>
    </r>
    <r>
      <rPr>
        <vertAlign val="subscript"/>
        <sz val="10"/>
        <color theme="1"/>
        <rFont val="Arial"/>
        <family val="2"/>
      </rPr>
      <t>B</t>
    </r>
    <r>
      <rPr>
        <sz val="10"/>
        <rFont val="Arial"/>
        <family val="2"/>
      </rPr>
      <t>)/2] * (Y</t>
    </r>
    <r>
      <rPr>
        <vertAlign val="subscript"/>
        <sz val="10"/>
        <color theme="1"/>
        <rFont val="Arial"/>
        <family val="2"/>
      </rPr>
      <t>ftg.</t>
    </r>
    <r>
      <rPr>
        <sz val="10"/>
        <rFont val="Arial"/>
        <family val="2"/>
      </rPr>
      <t>+Y</t>
    </r>
    <r>
      <rPr>
        <vertAlign val="subscript"/>
        <sz val="10"/>
        <color theme="1"/>
        <rFont val="Arial"/>
        <family val="2"/>
      </rPr>
      <t>stem.</t>
    </r>
    <r>
      <rPr>
        <sz val="10"/>
        <rFont val="Arial"/>
        <family val="2"/>
      </rPr>
      <t>) =</t>
    </r>
  </si>
  <si>
    <r>
      <t>y'</t>
    </r>
    <r>
      <rPr>
        <vertAlign val="subscript"/>
        <sz val="10"/>
        <color theme="1"/>
        <rFont val="Arial"/>
        <family val="2"/>
      </rPr>
      <t>EH</t>
    </r>
    <r>
      <rPr>
        <sz val="10"/>
        <rFont val="Arial"/>
        <family val="2"/>
      </rPr>
      <t xml:space="preserve"> = </t>
    </r>
    <r>
      <rPr>
        <sz val="10"/>
        <rFont val="Arial"/>
        <family val="2"/>
      </rPr>
      <t>(1/3)*[(2H</t>
    </r>
    <r>
      <rPr>
        <vertAlign val="subscript"/>
        <sz val="10"/>
        <color theme="1"/>
        <rFont val="Arial"/>
        <family val="2"/>
      </rPr>
      <t>A</t>
    </r>
    <r>
      <rPr>
        <sz val="10"/>
        <rFont val="Arial"/>
        <family val="2"/>
      </rPr>
      <t>+H</t>
    </r>
    <r>
      <rPr>
        <vertAlign val="subscript"/>
        <sz val="10"/>
        <color theme="1"/>
        <rFont val="Arial"/>
        <family val="2"/>
      </rPr>
      <t>B</t>
    </r>
    <r>
      <rPr>
        <sz val="10"/>
        <rFont val="Arial"/>
        <family val="2"/>
      </rPr>
      <t>)/(H</t>
    </r>
    <r>
      <rPr>
        <vertAlign val="subscript"/>
        <sz val="10"/>
        <color theme="1"/>
        <rFont val="Arial"/>
        <family val="2"/>
      </rPr>
      <t>A</t>
    </r>
    <r>
      <rPr>
        <sz val="10"/>
        <rFont val="Arial"/>
        <family val="2"/>
      </rPr>
      <t>+H</t>
    </r>
    <r>
      <rPr>
        <vertAlign val="subscript"/>
        <sz val="10"/>
        <color theme="1"/>
        <rFont val="Arial"/>
        <family val="2"/>
      </rPr>
      <t>B</t>
    </r>
    <r>
      <rPr>
        <sz val="10"/>
        <rFont val="Arial"/>
        <family val="2"/>
      </rPr>
      <t>)]*(Y</t>
    </r>
    <r>
      <rPr>
        <vertAlign val="subscript"/>
        <sz val="10"/>
        <color theme="1"/>
        <rFont val="Arial"/>
        <family val="2"/>
      </rPr>
      <t>ftg.</t>
    </r>
    <r>
      <rPr>
        <sz val="10"/>
        <rFont val="Arial"/>
        <family val="2"/>
      </rPr>
      <t>+Y</t>
    </r>
    <r>
      <rPr>
        <vertAlign val="subscript"/>
        <sz val="10"/>
        <color theme="1"/>
        <rFont val="Arial"/>
        <family val="2"/>
      </rPr>
      <t>stem.</t>
    </r>
    <r>
      <rPr>
        <sz val="10"/>
        <rFont val="Arial"/>
        <family val="2"/>
      </rPr>
      <t>)</t>
    </r>
  </si>
  <si>
    <r>
      <t>H</t>
    </r>
    <r>
      <rPr>
        <vertAlign val="subscript"/>
        <sz val="10"/>
        <color theme="1"/>
        <rFont val="Arial"/>
        <family val="2"/>
      </rPr>
      <t xml:space="preserve">EH </t>
    </r>
    <r>
      <rPr>
        <sz val="10"/>
        <rFont val="Arial"/>
        <family val="2"/>
      </rPr>
      <t>= Service I (EH) Horizontal Earth Pressure =</t>
    </r>
  </si>
  <si>
    <r>
      <t>y'</t>
    </r>
    <r>
      <rPr>
        <vertAlign val="subscript"/>
        <sz val="10"/>
        <color theme="1"/>
        <rFont val="Arial"/>
        <family val="2"/>
      </rPr>
      <t>EH</t>
    </r>
    <r>
      <rPr>
        <sz val="10"/>
        <rFont val="Arial"/>
        <family val="2"/>
      </rPr>
      <t xml:space="preserve"> =</t>
    </r>
  </si>
  <si>
    <r>
      <t>Live Load Surcharge (H</t>
    </r>
    <r>
      <rPr>
        <i/>
        <vertAlign val="subscript"/>
        <sz val="10"/>
        <color theme="1"/>
        <rFont val="Arial"/>
        <family val="2"/>
      </rPr>
      <t>LS</t>
    </r>
    <r>
      <rPr>
        <i/>
        <sz val="10"/>
        <color theme="1"/>
        <rFont val="Arial"/>
        <family val="2"/>
      </rPr>
      <t>):</t>
    </r>
  </si>
  <si>
    <t>AASHTO LRFD Table 3.11.6.4-1</t>
  </si>
  <si>
    <t>Abutment Height (ft.)</t>
  </si>
  <si>
    <r>
      <t>h</t>
    </r>
    <r>
      <rPr>
        <i/>
        <vertAlign val="subscript"/>
        <sz val="10"/>
        <color theme="1"/>
        <rFont val="Arial"/>
        <family val="2"/>
      </rPr>
      <t>eq</t>
    </r>
    <r>
      <rPr>
        <sz val="10"/>
        <rFont val="Arial"/>
        <family val="2"/>
      </rPr>
      <t xml:space="preserve"> (ft.)</t>
    </r>
  </si>
  <si>
    <t>Abutment Height, h=</t>
  </si>
  <si>
    <r>
      <t>h</t>
    </r>
    <r>
      <rPr>
        <i/>
        <vertAlign val="subscript"/>
        <sz val="10"/>
        <color theme="1"/>
        <rFont val="Arial"/>
        <family val="2"/>
      </rPr>
      <t>eq</t>
    </r>
    <r>
      <rPr>
        <sz val="10"/>
        <rFont val="Arial"/>
        <family val="2"/>
      </rPr>
      <t xml:space="preserve"> =</t>
    </r>
  </si>
  <si>
    <r>
      <t>Footing + Stem Height = h</t>
    </r>
    <r>
      <rPr>
        <vertAlign val="subscript"/>
        <sz val="10"/>
        <color theme="1"/>
        <rFont val="Arial"/>
        <family val="2"/>
      </rPr>
      <t>LS</t>
    </r>
    <r>
      <rPr>
        <sz val="10"/>
        <rFont val="Arial"/>
        <family val="2"/>
      </rPr>
      <t xml:space="preserve"> = Y</t>
    </r>
    <r>
      <rPr>
        <vertAlign val="subscript"/>
        <sz val="10"/>
        <color theme="1"/>
        <rFont val="Arial"/>
        <family val="2"/>
      </rPr>
      <t>ftg.</t>
    </r>
    <r>
      <rPr>
        <sz val="10"/>
        <rFont val="Arial"/>
        <family val="2"/>
      </rPr>
      <t xml:space="preserve"> + Y</t>
    </r>
    <r>
      <rPr>
        <vertAlign val="subscript"/>
        <sz val="10"/>
        <color theme="1"/>
        <rFont val="Arial"/>
        <family val="2"/>
      </rPr>
      <t>stem</t>
    </r>
  </si>
  <si>
    <r>
      <t>H</t>
    </r>
    <r>
      <rPr>
        <vertAlign val="subscript"/>
        <sz val="10"/>
        <color theme="1"/>
        <rFont val="Arial"/>
        <family val="2"/>
      </rPr>
      <t>LS</t>
    </r>
    <r>
      <rPr>
        <sz val="10"/>
        <rFont val="Arial"/>
        <family val="2"/>
      </rPr>
      <t xml:space="preserve"> = h</t>
    </r>
    <r>
      <rPr>
        <i/>
        <vertAlign val="subscript"/>
        <sz val="10"/>
        <color theme="1"/>
        <rFont val="Arial"/>
        <family val="2"/>
      </rPr>
      <t>eq</t>
    </r>
    <r>
      <rPr>
        <sz val="10"/>
        <rFont val="Arial"/>
        <family val="2"/>
      </rPr>
      <t xml:space="preserve"> * </t>
    </r>
    <r>
      <rPr>
        <sz val="10"/>
        <color theme="1"/>
        <rFont val="Symbol"/>
        <family val="1"/>
        <charset val="2"/>
      </rPr>
      <t>g</t>
    </r>
    <r>
      <rPr>
        <sz val="10"/>
        <rFont val="Arial"/>
        <family val="2"/>
      </rPr>
      <t>ko * h</t>
    </r>
    <r>
      <rPr>
        <vertAlign val="subscript"/>
        <sz val="10"/>
        <color theme="1"/>
        <rFont val="Arial"/>
        <family val="2"/>
      </rPr>
      <t>eq</t>
    </r>
    <r>
      <rPr>
        <sz val="10"/>
        <rFont val="Arial"/>
        <family val="2"/>
      </rPr>
      <t xml:space="preserve"> =</t>
    </r>
  </si>
  <si>
    <r>
      <t>y'</t>
    </r>
    <r>
      <rPr>
        <vertAlign val="subscript"/>
        <sz val="10"/>
        <color theme="1"/>
        <rFont val="Arial"/>
        <family val="2"/>
      </rPr>
      <t>LS</t>
    </r>
    <r>
      <rPr>
        <sz val="10"/>
        <rFont val="Arial"/>
        <family val="2"/>
      </rPr>
      <t xml:space="preserve"> = h</t>
    </r>
    <r>
      <rPr>
        <vertAlign val="subscript"/>
        <sz val="10"/>
        <color theme="1"/>
        <rFont val="Arial"/>
        <family val="2"/>
      </rPr>
      <t>LS</t>
    </r>
    <r>
      <rPr>
        <sz val="10"/>
        <rFont val="Arial"/>
        <family val="2"/>
      </rPr>
      <t>/2 =</t>
    </r>
  </si>
  <si>
    <r>
      <t>H</t>
    </r>
    <r>
      <rPr>
        <vertAlign val="subscript"/>
        <sz val="10"/>
        <color theme="1"/>
        <rFont val="Arial"/>
        <family val="2"/>
      </rPr>
      <t xml:space="preserve">LS </t>
    </r>
    <r>
      <rPr>
        <sz val="10"/>
        <rFont val="Arial"/>
        <family val="2"/>
      </rPr>
      <t>= Service I (LS) Live Load Surcharge =</t>
    </r>
  </si>
  <si>
    <r>
      <t>y'</t>
    </r>
    <r>
      <rPr>
        <vertAlign val="subscript"/>
        <sz val="10"/>
        <color theme="1"/>
        <rFont val="Arial"/>
        <family val="2"/>
      </rPr>
      <t>LS</t>
    </r>
    <r>
      <rPr>
        <sz val="10"/>
        <rFont val="Arial"/>
        <family val="2"/>
      </rPr>
      <t xml:space="preserve"> =</t>
    </r>
  </si>
  <si>
    <r>
      <t>Lateral Force Transferred @ Beam Bearing (H</t>
    </r>
    <r>
      <rPr>
        <i/>
        <vertAlign val="subscript"/>
        <sz val="10"/>
        <color theme="1"/>
        <rFont val="Arial"/>
        <family val="2"/>
      </rPr>
      <t>TU</t>
    </r>
    <r>
      <rPr>
        <i/>
        <sz val="10"/>
        <color theme="1"/>
        <rFont val="Arial"/>
        <family val="2"/>
      </rPr>
      <t>):</t>
    </r>
  </si>
  <si>
    <r>
      <t>Method 1 for H</t>
    </r>
    <r>
      <rPr>
        <u/>
        <vertAlign val="subscript"/>
        <sz val="10"/>
        <color theme="1"/>
        <rFont val="Arial"/>
        <family val="2"/>
      </rPr>
      <t>TU</t>
    </r>
    <r>
      <rPr>
        <u/>
        <sz val="10"/>
        <color theme="1"/>
        <rFont val="Arial"/>
        <family val="2"/>
      </rPr>
      <t xml:space="preserve"> (for Prelim Design)</t>
    </r>
  </si>
  <si>
    <t xml:space="preserve">Assume that the maximum lateral force transferred at the bearing is equal to </t>
  </si>
  <si>
    <t>of the total vertical dead</t>
  </si>
  <si>
    <t>load acting on the beam bearing.</t>
  </si>
  <si>
    <t>This maximum lateral force acting at the bearing seat could be from wind loads on live load, wind loads on superstructure, or thermal loads, but for this preliminary analysis it will be treated as though it is all thermal force since TU load condition included in the Strength I load case.</t>
  </si>
  <si>
    <r>
      <t>Method 1 for H</t>
    </r>
    <r>
      <rPr>
        <vertAlign val="subscript"/>
        <sz val="10"/>
        <color theme="1"/>
        <rFont val="Arial"/>
        <family val="2"/>
      </rPr>
      <t>TU</t>
    </r>
    <r>
      <rPr>
        <sz val="10"/>
        <rFont val="Arial"/>
        <family val="2"/>
      </rPr>
      <t xml:space="preserve"> (for Prelim Design)</t>
    </r>
  </si>
  <si>
    <r>
      <t>V</t>
    </r>
    <r>
      <rPr>
        <vertAlign val="subscript"/>
        <sz val="10"/>
        <color theme="1"/>
        <rFont val="Arial"/>
        <family val="2"/>
      </rPr>
      <t>SUP_DC</t>
    </r>
    <r>
      <rPr>
        <sz val="10"/>
        <rFont val="Arial"/>
        <family val="2"/>
      </rPr>
      <t xml:space="preserve"> + V</t>
    </r>
    <r>
      <rPr>
        <vertAlign val="subscript"/>
        <sz val="10"/>
        <color theme="1"/>
        <rFont val="Arial"/>
        <family val="2"/>
      </rPr>
      <t xml:space="preserve">SUP_DW </t>
    </r>
    <r>
      <rPr>
        <sz val="10"/>
        <rFont val="Arial"/>
        <family val="2"/>
      </rPr>
      <t>= Vertical Superstr. DL Acting on Abut. =</t>
    </r>
  </si>
  <si>
    <r>
      <t>Assumed H</t>
    </r>
    <r>
      <rPr>
        <vertAlign val="subscript"/>
        <sz val="10"/>
        <color theme="1"/>
        <rFont val="Arial"/>
        <family val="2"/>
      </rPr>
      <t>TU</t>
    </r>
    <r>
      <rPr>
        <sz val="10"/>
        <rFont val="Arial"/>
        <family val="2"/>
      </rPr>
      <t xml:space="preserve"> =</t>
    </r>
  </si>
  <si>
    <r>
      <t>y'</t>
    </r>
    <r>
      <rPr>
        <vertAlign val="subscript"/>
        <sz val="10"/>
        <color theme="1"/>
        <rFont val="Arial"/>
        <family val="2"/>
      </rPr>
      <t>TU</t>
    </r>
    <r>
      <rPr>
        <sz val="10"/>
        <rFont val="Arial"/>
        <family val="2"/>
      </rPr>
      <t xml:space="preserve"> =</t>
    </r>
  </si>
  <si>
    <r>
      <t>Method 2 for H</t>
    </r>
    <r>
      <rPr>
        <u/>
        <vertAlign val="subscript"/>
        <sz val="10"/>
        <color theme="1"/>
        <rFont val="Arial"/>
        <family val="2"/>
      </rPr>
      <t>TU</t>
    </r>
    <r>
      <rPr>
        <u/>
        <sz val="10"/>
        <color theme="1"/>
        <rFont val="Arial"/>
        <family val="2"/>
      </rPr>
      <t xml:space="preserve"> (for Final Design)</t>
    </r>
  </si>
  <si>
    <r>
      <rPr>
        <sz val="10"/>
        <rFont val="Arial"/>
        <family val="2"/>
      </rPr>
      <t>H</t>
    </r>
    <r>
      <rPr>
        <vertAlign val="subscript"/>
        <sz val="10"/>
        <color theme="1"/>
        <rFont val="Arial"/>
        <family val="2"/>
      </rPr>
      <t>TU</t>
    </r>
    <r>
      <rPr>
        <sz val="10"/>
        <color theme="1"/>
        <rFont val="Symbol"/>
        <family val="1"/>
        <charset val="2"/>
      </rPr>
      <t xml:space="preserve"> </t>
    </r>
    <r>
      <rPr>
        <sz val="10"/>
        <rFont val="Arial"/>
        <family val="2"/>
      </rPr>
      <t>=</t>
    </r>
  </si>
  <si>
    <r>
      <t>G</t>
    </r>
    <r>
      <rPr>
        <vertAlign val="subscript"/>
        <sz val="10"/>
        <color theme="1"/>
        <rFont val="Arial"/>
        <family val="2"/>
      </rPr>
      <t>max</t>
    </r>
    <r>
      <rPr>
        <sz val="10"/>
        <rFont val="Arial"/>
        <family val="2"/>
      </rPr>
      <t xml:space="preserve"> A</t>
    </r>
    <r>
      <rPr>
        <vertAlign val="subscript"/>
        <sz val="10"/>
        <color theme="1"/>
        <rFont val="Arial"/>
        <family val="2"/>
      </rPr>
      <t>brg</t>
    </r>
    <r>
      <rPr>
        <sz val="10"/>
        <rFont val="Arial"/>
        <family val="2"/>
      </rPr>
      <t xml:space="preserve"> </t>
    </r>
    <r>
      <rPr>
        <sz val="10"/>
        <color theme="1"/>
        <rFont val="Symbol"/>
        <family val="1"/>
        <charset val="2"/>
      </rPr>
      <t>D</t>
    </r>
    <r>
      <rPr>
        <vertAlign val="subscript"/>
        <sz val="10"/>
        <color theme="1"/>
        <rFont val="Arial"/>
        <family val="2"/>
      </rPr>
      <t>s</t>
    </r>
    <r>
      <rPr>
        <sz val="10"/>
        <rFont val="Arial"/>
        <family val="2"/>
      </rPr>
      <t xml:space="preserve"> / h</t>
    </r>
    <r>
      <rPr>
        <vertAlign val="subscript"/>
        <sz val="10"/>
        <color theme="1"/>
        <rFont val="Arial"/>
        <family val="2"/>
      </rPr>
      <t>rt</t>
    </r>
  </si>
  <si>
    <t>(AASHTO 14.6.3.1-1)</t>
  </si>
  <si>
    <t>kips</t>
  </si>
  <si>
    <t>(See Bearing Design calcs)</t>
  </si>
  <si>
    <t xml:space="preserve">Number of Beams = </t>
  </si>
  <si>
    <r>
      <t>Total H</t>
    </r>
    <r>
      <rPr>
        <vertAlign val="subscript"/>
        <sz val="10"/>
        <color theme="1"/>
        <rFont val="Arial"/>
        <family val="2"/>
      </rPr>
      <t>TU</t>
    </r>
    <r>
      <rPr>
        <sz val="10"/>
        <rFont val="Arial"/>
        <family val="2"/>
      </rPr>
      <t xml:space="preserve"> = </t>
    </r>
  </si>
  <si>
    <r>
      <t>Method 2 for H</t>
    </r>
    <r>
      <rPr>
        <vertAlign val="subscript"/>
        <sz val="10"/>
        <color theme="1"/>
        <rFont val="Arial"/>
        <family val="2"/>
      </rPr>
      <t>TU</t>
    </r>
    <r>
      <rPr>
        <sz val="10"/>
        <rFont val="Arial"/>
        <family val="2"/>
      </rPr>
      <t xml:space="preserve"> </t>
    </r>
  </si>
  <si>
    <r>
      <t>H</t>
    </r>
    <r>
      <rPr>
        <vertAlign val="subscript"/>
        <sz val="10"/>
        <color theme="1"/>
        <rFont val="Arial"/>
        <family val="2"/>
      </rPr>
      <t>TU</t>
    </r>
    <r>
      <rPr>
        <sz val="10"/>
        <rFont val="Arial"/>
        <family val="2"/>
      </rPr>
      <t xml:space="preserve"> =</t>
    </r>
  </si>
  <si>
    <r>
      <t>Braking Force (H</t>
    </r>
    <r>
      <rPr>
        <i/>
        <vertAlign val="subscript"/>
        <sz val="10"/>
        <color theme="1"/>
        <rFont val="Arial"/>
        <family val="2"/>
      </rPr>
      <t>BR</t>
    </r>
    <r>
      <rPr>
        <i/>
        <sz val="10"/>
        <color theme="1"/>
        <rFont val="Arial"/>
        <family val="2"/>
      </rPr>
      <t>):</t>
    </r>
  </si>
  <si>
    <t xml:space="preserve">A) 25% of the Design Truck = 0.25(8 + 32 + 32) = </t>
  </si>
  <si>
    <t>kips/lane on bridge</t>
  </si>
  <si>
    <t xml:space="preserve">B) 25% of the Design Tandem = 0.25(25 + 25) = </t>
  </si>
  <si>
    <t xml:space="preserve">C)  5% of Design Truck with Lane Load = </t>
  </si>
  <si>
    <t>D) 5% of Design Tandem with Lane Load =</t>
  </si>
  <si>
    <t xml:space="preserve">Max Braking Force = </t>
  </si>
  <si>
    <t>Braking Force *</t>
  </si>
  <si>
    <t>Maximum Total  Braking Force =</t>
  </si>
  <si>
    <t>* For simple span bridge - assumes 0.5 of braking force goes to each abutment.</t>
  </si>
  <si>
    <r>
      <t>Braking Force H</t>
    </r>
    <r>
      <rPr>
        <vertAlign val="subscript"/>
        <sz val="10"/>
        <color theme="1"/>
        <rFont val="Arial"/>
        <family val="2"/>
      </rPr>
      <t>BR</t>
    </r>
  </si>
  <si>
    <r>
      <t>H</t>
    </r>
    <r>
      <rPr>
        <vertAlign val="subscript"/>
        <sz val="10"/>
        <color theme="1"/>
        <rFont val="Arial"/>
        <family val="2"/>
      </rPr>
      <t>BR</t>
    </r>
    <r>
      <rPr>
        <sz val="10"/>
        <rFont val="Arial"/>
        <family val="2"/>
      </rPr>
      <t xml:space="preserve"> =</t>
    </r>
  </si>
  <si>
    <r>
      <t>y'</t>
    </r>
    <r>
      <rPr>
        <vertAlign val="subscript"/>
        <sz val="10"/>
        <color theme="1"/>
        <rFont val="Arial"/>
        <family val="2"/>
      </rPr>
      <t>BR</t>
    </r>
    <r>
      <rPr>
        <sz val="10"/>
        <rFont val="Arial"/>
        <family val="2"/>
      </rPr>
      <t xml:space="preserve"> =</t>
    </r>
  </si>
  <si>
    <t>Summary of Service Horizontal Loads and Resulting Moments Acting on Abutment:</t>
  </si>
  <si>
    <t>Load Factor</t>
  </si>
  <si>
    <r>
      <t>H</t>
    </r>
    <r>
      <rPr>
        <vertAlign val="subscript"/>
        <sz val="10"/>
        <color theme="1"/>
        <rFont val="Arial"/>
        <family val="2"/>
      </rPr>
      <t>EH</t>
    </r>
    <r>
      <rPr>
        <sz val="10"/>
        <rFont val="Arial"/>
        <family val="2"/>
      </rPr>
      <t xml:space="preserve"> - Horiz. Earth Load</t>
    </r>
  </si>
  <si>
    <r>
      <t>H</t>
    </r>
    <r>
      <rPr>
        <vertAlign val="subscript"/>
        <sz val="10"/>
        <color theme="1"/>
        <rFont val="Arial"/>
        <family val="2"/>
      </rPr>
      <t>LS</t>
    </r>
    <r>
      <rPr>
        <sz val="10"/>
        <rFont val="Arial"/>
        <family val="2"/>
      </rPr>
      <t xml:space="preserve"> - Live Load Surcharge</t>
    </r>
  </si>
  <si>
    <r>
      <t>H</t>
    </r>
    <r>
      <rPr>
        <vertAlign val="subscript"/>
        <sz val="10"/>
        <color theme="1"/>
        <rFont val="Arial"/>
        <family val="2"/>
      </rPr>
      <t>TU</t>
    </r>
    <r>
      <rPr>
        <sz val="10"/>
        <rFont val="Arial"/>
        <family val="2"/>
      </rPr>
      <t xml:space="preserve"> - Lateral Force @ Brg.: Method 1*</t>
    </r>
  </si>
  <si>
    <r>
      <t>H</t>
    </r>
    <r>
      <rPr>
        <vertAlign val="subscript"/>
        <sz val="10"/>
        <color theme="1"/>
        <rFont val="Arial"/>
        <family val="2"/>
      </rPr>
      <t>TU</t>
    </r>
    <r>
      <rPr>
        <sz val="10"/>
        <rFont val="Arial"/>
        <family val="2"/>
      </rPr>
      <t xml:space="preserve"> - Lateral Force @ Brg.: Method 2*</t>
    </r>
  </si>
  <si>
    <r>
      <t>H</t>
    </r>
    <r>
      <rPr>
        <vertAlign val="subscript"/>
        <sz val="10"/>
        <color theme="1"/>
        <rFont val="Arial"/>
        <family val="2"/>
      </rPr>
      <t>BR</t>
    </r>
    <r>
      <rPr>
        <sz val="10"/>
        <rFont val="Arial"/>
        <family val="2"/>
      </rPr>
      <t xml:space="preserve"> - Braking Force</t>
    </r>
  </si>
  <si>
    <t>* For Preliminary Design, set Load Factors for Method 1 = 1.0 and Method 2 = 0.0.  For Final Design, set Load Factor for Method 1 = 0.0 and Method 2 = 1.0.</t>
  </si>
  <si>
    <t>Determination of Maximum Factored Pile Loads:</t>
  </si>
  <si>
    <t>Maximum Pile Spacing =</t>
  </si>
  <si>
    <t>ft c/c</t>
  </si>
  <si>
    <t>Number of Rows of Piles per Abutment =</t>
  </si>
  <si>
    <t>** Min. Number of Abutment Piles in Front Row  =</t>
  </si>
  <si>
    <t>** Note that the Minimum Number of Abutment Piles shown in this table does not include additonal piles that would be required below abutment wingwalls.</t>
  </si>
  <si>
    <r>
      <t>d</t>
    </r>
    <r>
      <rPr>
        <vertAlign val="subscript"/>
        <sz val="10"/>
        <color theme="1"/>
        <rFont val="Arial"/>
        <family val="2"/>
      </rPr>
      <t>back</t>
    </r>
  </si>
  <si>
    <r>
      <t>d</t>
    </r>
    <r>
      <rPr>
        <vertAlign val="subscript"/>
        <sz val="10"/>
        <color theme="1"/>
        <rFont val="Arial"/>
        <family val="2"/>
      </rPr>
      <t>front</t>
    </r>
  </si>
  <si>
    <t xml:space="preserve">         CL front row of piles</t>
  </si>
  <si>
    <t xml:space="preserve">    CL back row of piles</t>
  </si>
  <si>
    <r>
      <t xml:space="preserve">        CG</t>
    </r>
    <r>
      <rPr>
        <vertAlign val="subscript"/>
        <sz val="10"/>
        <color theme="1"/>
        <rFont val="Arial"/>
        <family val="2"/>
      </rPr>
      <t>Pile</t>
    </r>
  </si>
  <si>
    <t>Rear Abutment Proposed Pile Layout:</t>
  </si>
  <si>
    <t># Front Row Piles =</t>
  </si>
  <si>
    <t>piles</t>
  </si>
  <si>
    <r>
      <t>x</t>
    </r>
    <r>
      <rPr>
        <vertAlign val="subscript"/>
        <sz val="10"/>
        <color theme="1"/>
        <rFont val="Arial"/>
        <family val="2"/>
      </rPr>
      <t>front_row</t>
    </r>
    <r>
      <rPr>
        <sz val="10"/>
        <rFont val="Arial"/>
        <family val="2"/>
      </rPr>
      <t xml:space="preserve"> =</t>
    </r>
  </si>
  <si>
    <r>
      <t>d</t>
    </r>
    <r>
      <rPr>
        <vertAlign val="subscript"/>
        <sz val="10"/>
        <color theme="1"/>
        <rFont val="Arial"/>
        <family val="2"/>
      </rPr>
      <t>front</t>
    </r>
    <r>
      <rPr>
        <sz val="10"/>
        <rFont val="Arial"/>
        <family val="2"/>
      </rPr>
      <t xml:space="preserve"> =</t>
    </r>
  </si>
  <si>
    <t># Back Row Piles =</t>
  </si>
  <si>
    <r>
      <t>x</t>
    </r>
    <r>
      <rPr>
        <vertAlign val="subscript"/>
        <sz val="10"/>
        <color theme="1"/>
        <rFont val="Arial"/>
        <family val="2"/>
      </rPr>
      <t>back_row</t>
    </r>
    <r>
      <rPr>
        <sz val="10"/>
        <rFont val="Arial"/>
        <family val="2"/>
      </rPr>
      <t xml:space="preserve"> =</t>
    </r>
  </si>
  <si>
    <r>
      <t>d</t>
    </r>
    <r>
      <rPr>
        <vertAlign val="subscript"/>
        <sz val="10"/>
        <color theme="1"/>
        <rFont val="Arial"/>
        <family val="2"/>
      </rPr>
      <t>back</t>
    </r>
    <r>
      <rPr>
        <sz val="10"/>
        <rFont val="Arial"/>
        <family val="2"/>
      </rPr>
      <t xml:space="preserve"> =</t>
    </r>
  </si>
  <si>
    <r>
      <t>A</t>
    </r>
    <r>
      <rPr>
        <vertAlign val="subscript"/>
        <sz val="10"/>
        <color theme="1"/>
        <rFont val="Arial"/>
        <family val="2"/>
      </rPr>
      <t>Pile</t>
    </r>
    <r>
      <rPr>
        <sz val="10"/>
        <rFont val="Arial"/>
        <family val="2"/>
      </rPr>
      <t xml:space="preserve"> =</t>
    </r>
  </si>
  <si>
    <r>
      <t>CG</t>
    </r>
    <r>
      <rPr>
        <vertAlign val="subscript"/>
        <sz val="10"/>
        <color theme="1"/>
        <rFont val="Arial"/>
        <family val="2"/>
      </rPr>
      <t>Pile</t>
    </r>
    <r>
      <rPr>
        <sz val="10"/>
        <rFont val="Arial"/>
        <family val="2"/>
      </rPr>
      <t xml:space="preserve"> =</t>
    </r>
  </si>
  <si>
    <t>from toe of footing</t>
  </si>
  <si>
    <r>
      <t>I</t>
    </r>
    <r>
      <rPr>
        <vertAlign val="subscript"/>
        <sz val="10"/>
        <color theme="1"/>
        <rFont val="Arial"/>
        <family val="2"/>
      </rPr>
      <t>Pile</t>
    </r>
    <r>
      <rPr>
        <sz val="10"/>
        <rFont val="Arial"/>
        <family val="2"/>
      </rPr>
      <t xml:space="preserve"> =</t>
    </r>
  </si>
  <si>
    <t>sq ft pile</t>
  </si>
  <si>
    <t>Forward Abutment Proposed Pile Layout:</t>
  </si>
  <si>
    <t>Summary of Unfactored Vertical Loads &amp; Restoring Moments (+) &amp; Overturning Moments (-):</t>
  </si>
  <si>
    <t>Abut. Self-Wt.</t>
  </si>
  <si>
    <r>
      <t>V</t>
    </r>
    <r>
      <rPr>
        <vertAlign val="subscript"/>
        <sz val="10"/>
        <color theme="1"/>
        <rFont val="Arial"/>
        <family val="2"/>
      </rPr>
      <t xml:space="preserve">SW </t>
    </r>
    <r>
      <rPr>
        <sz val="10"/>
        <rFont val="Arial"/>
        <family val="2"/>
      </rPr>
      <t>=</t>
    </r>
  </si>
  <si>
    <r>
      <t>M</t>
    </r>
    <r>
      <rPr>
        <vertAlign val="subscript"/>
        <sz val="10"/>
        <color theme="1"/>
        <rFont val="Arial"/>
        <family val="2"/>
      </rPr>
      <t xml:space="preserve">SW </t>
    </r>
    <r>
      <rPr>
        <sz val="10"/>
        <rFont val="Arial"/>
        <family val="2"/>
      </rPr>
      <t>=</t>
    </r>
  </si>
  <si>
    <t>Vertical Earth Load</t>
  </si>
  <si>
    <r>
      <t>V</t>
    </r>
    <r>
      <rPr>
        <vertAlign val="subscript"/>
        <sz val="10"/>
        <color theme="1"/>
        <rFont val="Arial"/>
        <family val="2"/>
      </rPr>
      <t>EV</t>
    </r>
    <r>
      <rPr>
        <sz val="10"/>
        <rFont val="Arial"/>
        <family val="2"/>
      </rPr>
      <t xml:space="preserve"> =</t>
    </r>
  </si>
  <si>
    <r>
      <t>M</t>
    </r>
    <r>
      <rPr>
        <vertAlign val="subscript"/>
        <sz val="10"/>
        <color theme="1"/>
        <rFont val="Arial"/>
        <family val="2"/>
      </rPr>
      <t>EV</t>
    </r>
    <r>
      <rPr>
        <sz val="10"/>
        <rFont val="Arial"/>
        <family val="2"/>
      </rPr>
      <t xml:space="preserve"> =</t>
    </r>
  </si>
  <si>
    <t>Superstr. DC</t>
  </si>
  <si>
    <r>
      <t>V</t>
    </r>
    <r>
      <rPr>
        <vertAlign val="subscript"/>
        <sz val="10"/>
        <color theme="1"/>
        <rFont val="Arial"/>
        <family val="2"/>
      </rPr>
      <t>SUP_DC</t>
    </r>
    <r>
      <rPr>
        <sz val="10"/>
        <rFont val="Arial"/>
        <family val="2"/>
      </rPr>
      <t>=</t>
    </r>
  </si>
  <si>
    <r>
      <t>M</t>
    </r>
    <r>
      <rPr>
        <vertAlign val="subscript"/>
        <sz val="10"/>
        <color theme="1"/>
        <rFont val="Arial"/>
        <family val="2"/>
      </rPr>
      <t>SUP_DC</t>
    </r>
    <r>
      <rPr>
        <sz val="10"/>
        <rFont val="Arial"/>
        <family val="2"/>
      </rPr>
      <t>=</t>
    </r>
  </si>
  <si>
    <t>Superstr. DW</t>
  </si>
  <si>
    <r>
      <t>V</t>
    </r>
    <r>
      <rPr>
        <vertAlign val="subscript"/>
        <sz val="10"/>
        <color theme="1"/>
        <rFont val="Arial"/>
        <family val="2"/>
      </rPr>
      <t>SUP_DW</t>
    </r>
    <r>
      <rPr>
        <sz val="10"/>
        <rFont val="Arial"/>
        <family val="2"/>
      </rPr>
      <t>=</t>
    </r>
  </si>
  <si>
    <r>
      <t>M</t>
    </r>
    <r>
      <rPr>
        <vertAlign val="subscript"/>
        <sz val="10"/>
        <color theme="1"/>
        <rFont val="Arial"/>
        <family val="2"/>
      </rPr>
      <t>SUP_DW</t>
    </r>
    <r>
      <rPr>
        <sz val="10"/>
        <rFont val="Arial"/>
        <family val="2"/>
      </rPr>
      <t>=</t>
    </r>
  </si>
  <si>
    <r>
      <t>V</t>
    </r>
    <r>
      <rPr>
        <vertAlign val="subscript"/>
        <sz val="10"/>
        <color theme="1"/>
        <rFont val="Arial"/>
        <family val="2"/>
      </rPr>
      <t>LL</t>
    </r>
    <r>
      <rPr>
        <sz val="10"/>
        <rFont val="Arial"/>
        <family val="2"/>
      </rPr>
      <t xml:space="preserve"> =</t>
    </r>
  </si>
  <si>
    <r>
      <t>M</t>
    </r>
    <r>
      <rPr>
        <vertAlign val="subscript"/>
        <sz val="10"/>
        <color theme="1"/>
        <rFont val="Arial"/>
        <family val="2"/>
      </rPr>
      <t>LL</t>
    </r>
    <r>
      <rPr>
        <sz val="10"/>
        <rFont val="Arial"/>
        <family val="2"/>
      </rPr>
      <t xml:space="preserve"> =</t>
    </r>
  </si>
  <si>
    <t>Live Load - Appr. Slab</t>
  </si>
  <si>
    <t>Horizontal Earth Load</t>
  </si>
  <si>
    <r>
      <t>M</t>
    </r>
    <r>
      <rPr>
        <vertAlign val="subscript"/>
        <sz val="10"/>
        <color theme="1"/>
        <rFont val="Arial"/>
        <family val="2"/>
      </rPr>
      <t>EH</t>
    </r>
    <r>
      <rPr>
        <sz val="10"/>
        <rFont val="Arial"/>
        <family val="2"/>
      </rPr>
      <t xml:space="preserve"> =</t>
    </r>
  </si>
  <si>
    <t>Live Load Surcharge</t>
  </si>
  <si>
    <r>
      <t>M</t>
    </r>
    <r>
      <rPr>
        <vertAlign val="subscript"/>
        <sz val="10"/>
        <color theme="1"/>
        <rFont val="Arial"/>
        <family val="2"/>
      </rPr>
      <t>LS</t>
    </r>
    <r>
      <rPr>
        <sz val="10"/>
        <rFont val="Arial"/>
        <family val="2"/>
      </rPr>
      <t xml:space="preserve"> =</t>
    </r>
  </si>
  <si>
    <t>Lateral Force @ Brg.</t>
  </si>
  <si>
    <r>
      <t>M</t>
    </r>
    <r>
      <rPr>
        <vertAlign val="subscript"/>
        <sz val="10"/>
        <color theme="1"/>
        <rFont val="Arial"/>
        <family val="2"/>
      </rPr>
      <t>TU</t>
    </r>
    <r>
      <rPr>
        <sz val="10"/>
        <rFont val="Arial"/>
        <family val="2"/>
      </rPr>
      <t xml:space="preserve"> (+)=</t>
    </r>
  </si>
  <si>
    <r>
      <t>M</t>
    </r>
    <r>
      <rPr>
        <vertAlign val="subscript"/>
        <sz val="10"/>
        <color theme="1"/>
        <rFont val="Arial"/>
        <family val="2"/>
      </rPr>
      <t>TU</t>
    </r>
    <r>
      <rPr>
        <sz val="10"/>
        <rFont val="Arial"/>
        <family val="2"/>
      </rPr>
      <t xml:space="preserve"> (-)=</t>
    </r>
  </si>
  <si>
    <t>Braking Force</t>
  </si>
  <si>
    <r>
      <t>M</t>
    </r>
    <r>
      <rPr>
        <vertAlign val="subscript"/>
        <sz val="10"/>
        <color theme="1"/>
        <rFont val="Arial"/>
        <family val="2"/>
      </rPr>
      <t>BR</t>
    </r>
    <r>
      <rPr>
        <sz val="10"/>
        <rFont val="Arial"/>
        <family val="2"/>
      </rPr>
      <t xml:space="preserve"> (+)=</t>
    </r>
  </si>
  <si>
    <r>
      <t>M</t>
    </r>
    <r>
      <rPr>
        <vertAlign val="subscript"/>
        <sz val="10"/>
        <color theme="1"/>
        <rFont val="Arial"/>
        <family val="2"/>
      </rPr>
      <t>BR</t>
    </r>
    <r>
      <rPr>
        <sz val="10"/>
        <rFont val="Arial"/>
        <family val="2"/>
      </rPr>
      <t xml:space="preserve"> (-)=</t>
    </r>
  </si>
  <si>
    <t>Calculate Factored Pile Loads for Strength I Load Combination</t>
  </si>
  <si>
    <r>
      <t xml:space="preserve">Operational Importance Factor, </t>
    </r>
    <r>
      <rPr>
        <sz val="10"/>
        <color theme="1"/>
        <rFont val="Symbol"/>
        <family val="1"/>
        <charset val="2"/>
      </rPr>
      <t>h</t>
    </r>
    <r>
      <rPr>
        <vertAlign val="subscript"/>
        <sz val="10"/>
        <color theme="1"/>
        <rFont val="Arial"/>
        <family val="2"/>
      </rPr>
      <t>I</t>
    </r>
  </si>
  <si>
    <t>ADT =</t>
  </si>
  <si>
    <r>
      <rPr>
        <sz val="10"/>
        <color theme="1"/>
        <rFont val="Symbol"/>
        <family val="1"/>
        <charset val="2"/>
      </rPr>
      <t>h</t>
    </r>
    <r>
      <rPr>
        <vertAlign val="subscript"/>
        <sz val="10"/>
        <color theme="1"/>
        <rFont val="Arial"/>
        <family val="2"/>
      </rPr>
      <t>I</t>
    </r>
    <r>
      <rPr>
        <sz val="10"/>
        <rFont val="Arial"/>
        <family val="2"/>
      </rPr>
      <t xml:space="preserve"> =</t>
    </r>
  </si>
  <si>
    <t>(ODOT BDM Section 1001 S1.3.5)</t>
  </si>
  <si>
    <t>Investigate 14 Different Conditions for Strength I</t>
  </si>
  <si>
    <t>Notes:</t>
  </si>
  <si>
    <t>Condition 1 =</t>
  </si>
  <si>
    <r>
      <rPr>
        <sz val="10"/>
        <color theme="1"/>
        <rFont val="Symbol"/>
        <family val="1"/>
        <charset val="2"/>
      </rPr>
      <t>h</t>
    </r>
    <r>
      <rPr>
        <vertAlign val="subscript"/>
        <sz val="10"/>
        <color theme="1"/>
        <rFont val="Arial"/>
        <family val="2"/>
      </rPr>
      <t>I</t>
    </r>
    <r>
      <rPr>
        <sz val="10"/>
        <rFont val="Arial"/>
        <family val="2"/>
      </rPr>
      <t xml:space="preserve"> * [ 1.25*(M</t>
    </r>
    <r>
      <rPr>
        <vertAlign val="subscript"/>
        <sz val="10"/>
        <color theme="1"/>
        <rFont val="Arial"/>
        <family val="2"/>
      </rPr>
      <t>SW</t>
    </r>
    <r>
      <rPr>
        <sz val="10"/>
        <rFont val="Arial"/>
        <family val="2"/>
      </rPr>
      <t xml:space="preserve"> + M</t>
    </r>
    <r>
      <rPr>
        <vertAlign val="subscript"/>
        <sz val="10"/>
        <color theme="1"/>
        <rFont val="Arial"/>
        <family val="2"/>
      </rPr>
      <t>SUP_DC</t>
    </r>
    <r>
      <rPr>
        <sz val="10"/>
        <rFont val="Arial"/>
        <family val="2"/>
      </rPr>
      <t>) + 1.5*M</t>
    </r>
    <r>
      <rPr>
        <vertAlign val="subscript"/>
        <sz val="10"/>
        <color theme="1"/>
        <rFont val="Arial"/>
        <family val="2"/>
      </rPr>
      <t>SUP_DW</t>
    </r>
    <r>
      <rPr>
        <sz val="10"/>
        <rFont val="Arial"/>
        <family val="2"/>
      </rPr>
      <t xml:space="preserve"> + 1.35*M</t>
    </r>
    <r>
      <rPr>
        <vertAlign val="subscript"/>
        <sz val="10"/>
        <color theme="1"/>
        <rFont val="Arial"/>
        <family val="2"/>
      </rPr>
      <t>EV</t>
    </r>
    <r>
      <rPr>
        <sz val="10"/>
        <rFont val="Arial"/>
        <family val="2"/>
      </rPr>
      <t xml:space="preserve"> + 1.75*M</t>
    </r>
    <r>
      <rPr>
        <vertAlign val="subscript"/>
        <sz val="10"/>
        <color theme="1"/>
        <rFont val="Arial"/>
        <family val="2"/>
      </rPr>
      <t>LL</t>
    </r>
    <r>
      <rPr>
        <sz val="10"/>
        <rFont val="Arial"/>
        <family val="2"/>
      </rPr>
      <t xml:space="preserve"> - 0.90*M</t>
    </r>
    <r>
      <rPr>
        <vertAlign val="subscript"/>
        <sz val="10"/>
        <color theme="1"/>
        <rFont val="Arial"/>
        <family val="2"/>
      </rPr>
      <t>EH</t>
    </r>
    <r>
      <rPr>
        <sz val="10"/>
        <rFont val="Arial"/>
        <family val="2"/>
      </rPr>
      <t xml:space="preserve"> + 1.20*M</t>
    </r>
    <r>
      <rPr>
        <vertAlign val="subscript"/>
        <sz val="10"/>
        <color theme="1"/>
        <rFont val="Arial"/>
        <family val="2"/>
      </rPr>
      <t>TU</t>
    </r>
    <r>
      <rPr>
        <sz val="10"/>
        <rFont val="Arial"/>
        <family val="2"/>
      </rPr>
      <t xml:space="preserve"> + 1.75*M</t>
    </r>
    <r>
      <rPr>
        <vertAlign val="subscript"/>
        <sz val="10"/>
        <color theme="1"/>
        <rFont val="Arial"/>
        <family val="2"/>
      </rPr>
      <t>BR</t>
    </r>
    <r>
      <rPr>
        <sz val="10"/>
        <rFont val="Arial"/>
        <family val="2"/>
      </rPr>
      <t xml:space="preserve"> ]</t>
    </r>
  </si>
  <si>
    <t>LL on Appr. Slab w/ no LL Surch.</t>
  </si>
  <si>
    <t>Condition 2 =</t>
  </si>
  <si>
    <r>
      <rPr>
        <sz val="10"/>
        <color theme="1"/>
        <rFont val="Symbol"/>
        <family val="1"/>
        <charset val="2"/>
      </rPr>
      <t>h</t>
    </r>
    <r>
      <rPr>
        <vertAlign val="subscript"/>
        <sz val="10"/>
        <color theme="1"/>
        <rFont val="Arial"/>
        <family val="2"/>
      </rPr>
      <t>I</t>
    </r>
    <r>
      <rPr>
        <sz val="10"/>
        <rFont val="Arial"/>
        <family val="2"/>
      </rPr>
      <t xml:space="preserve"> * [ 1.25*(M</t>
    </r>
    <r>
      <rPr>
        <vertAlign val="subscript"/>
        <sz val="10"/>
        <color theme="1"/>
        <rFont val="Arial"/>
        <family val="2"/>
      </rPr>
      <t>SW</t>
    </r>
    <r>
      <rPr>
        <sz val="10"/>
        <rFont val="Arial"/>
        <family val="2"/>
      </rPr>
      <t xml:space="preserve"> + M</t>
    </r>
    <r>
      <rPr>
        <vertAlign val="subscript"/>
        <sz val="10"/>
        <color theme="1"/>
        <rFont val="Arial"/>
        <family val="2"/>
      </rPr>
      <t>SUP_DC</t>
    </r>
    <r>
      <rPr>
        <sz val="10"/>
        <rFont val="Arial"/>
        <family val="2"/>
      </rPr>
      <t>) + 1.5*M</t>
    </r>
    <r>
      <rPr>
        <vertAlign val="subscript"/>
        <sz val="10"/>
        <color theme="1"/>
        <rFont val="Arial"/>
        <family val="2"/>
      </rPr>
      <t>SUP_DW</t>
    </r>
    <r>
      <rPr>
        <sz val="10"/>
        <rFont val="Arial"/>
        <family val="2"/>
      </rPr>
      <t xml:space="preserve"> + 1.35*M</t>
    </r>
    <r>
      <rPr>
        <vertAlign val="subscript"/>
        <sz val="10"/>
        <color theme="1"/>
        <rFont val="Arial"/>
        <family val="2"/>
      </rPr>
      <t>EV</t>
    </r>
    <r>
      <rPr>
        <sz val="10"/>
        <rFont val="Arial"/>
        <family val="2"/>
      </rPr>
      <t xml:space="preserve"> + 1.75*M</t>
    </r>
    <r>
      <rPr>
        <vertAlign val="subscript"/>
        <sz val="10"/>
        <color theme="1"/>
        <rFont val="Arial"/>
        <family val="2"/>
      </rPr>
      <t>LL</t>
    </r>
    <r>
      <rPr>
        <sz val="10"/>
        <rFont val="Arial"/>
        <family val="2"/>
      </rPr>
      <t xml:space="preserve"> - 0.90*M</t>
    </r>
    <r>
      <rPr>
        <vertAlign val="subscript"/>
        <sz val="10"/>
        <color theme="1"/>
        <rFont val="Arial"/>
        <family val="2"/>
      </rPr>
      <t>EH</t>
    </r>
    <r>
      <rPr>
        <sz val="10"/>
        <rFont val="Arial"/>
        <family val="2"/>
      </rPr>
      <t xml:space="preserve"> - 1.20*M</t>
    </r>
    <r>
      <rPr>
        <vertAlign val="subscript"/>
        <sz val="10"/>
        <color theme="1"/>
        <rFont val="Arial"/>
        <family val="2"/>
      </rPr>
      <t>TU</t>
    </r>
    <r>
      <rPr>
        <sz val="10"/>
        <rFont val="Arial"/>
        <family val="2"/>
      </rPr>
      <t xml:space="preserve"> - 1.75*M</t>
    </r>
    <r>
      <rPr>
        <vertAlign val="subscript"/>
        <sz val="10"/>
        <color theme="1"/>
        <rFont val="Arial"/>
        <family val="2"/>
      </rPr>
      <t>BR</t>
    </r>
    <r>
      <rPr>
        <sz val="10"/>
        <rFont val="Arial"/>
        <family val="2"/>
      </rPr>
      <t xml:space="preserve"> ]</t>
    </r>
  </si>
  <si>
    <t>Condition 3 =</t>
  </si>
  <si>
    <r>
      <rPr>
        <sz val="10"/>
        <color theme="1"/>
        <rFont val="Symbol"/>
        <family val="1"/>
        <charset val="2"/>
      </rPr>
      <t>h</t>
    </r>
    <r>
      <rPr>
        <vertAlign val="subscript"/>
        <sz val="10"/>
        <color theme="1"/>
        <rFont val="Arial"/>
        <family val="2"/>
      </rPr>
      <t>I</t>
    </r>
    <r>
      <rPr>
        <sz val="10"/>
        <rFont val="Arial"/>
        <family val="2"/>
      </rPr>
      <t xml:space="preserve"> * [ 1.25*(M</t>
    </r>
    <r>
      <rPr>
        <vertAlign val="subscript"/>
        <sz val="10"/>
        <color theme="1"/>
        <rFont val="Arial"/>
        <family val="2"/>
      </rPr>
      <t>SW</t>
    </r>
    <r>
      <rPr>
        <sz val="10"/>
        <rFont val="Arial"/>
        <family val="2"/>
      </rPr>
      <t xml:space="preserve"> + M</t>
    </r>
    <r>
      <rPr>
        <vertAlign val="subscript"/>
        <sz val="10"/>
        <color theme="1"/>
        <rFont val="Arial"/>
        <family val="2"/>
      </rPr>
      <t>SUP_DC</t>
    </r>
    <r>
      <rPr>
        <sz val="10"/>
        <rFont val="Arial"/>
        <family val="2"/>
      </rPr>
      <t>) + 1.5*M</t>
    </r>
    <r>
      <rPr>
        <vertAlign val="subscript"/>
        <sz val="10"/>
        <color theme="1"/>
        <rFont val="Arial"/>
        <family val="2"/>
      </rPr>
      <t>SUP_DW</t>
    </r>
    <r>
      <rPr>
        <sz val="10"/>
        <rFont val="Arial"/>
        <family val="2"/>
      </rPr>
      <t xml:space="preserve"> + 1.35*M</t>
    </r>
    <r>
      <rPr>
        <vertAlign val="subscript"/>
        <sz val="10"/>
        <color theme="1"/>
        <rFont val="Arial"/>
        <family val="2"/>
      </rPr>
      <t>EV</t>
    </r>
    <r>
      <rPr>
        <sz val="10"/>
        <rFont val="Arial"/>
        <family val="2"/>
      </rPr>
      <t xml:space="preserve"> + 1.75*M</t>
    </r>
    <r>
      <rPr>
        <vertAlign val="subscript"/>
        <sz val="10"/>
        <color theme="1"/>
        <rFont val="Arial"/>
        <family val="2"/>
      </rPr>
      <t>LL</t>
    </r>
    <r>
      <rPr>
        <sz val="10"/>
        <rFont val="Arial"/>
        <family val="2"/>
      </rPr>
      <t xml:space="preserve"> - 0.90*M</t>
    </r>
    <r>
      <rPr>
        <vertAlign val="subscript"/>
        <sz val="10"/>
        <color theme="1"/>
        <rFont val="Arial"/>
        <family val="2"/>
      </rPr>
      <t>EH</t>
    </r>
    <r>
      <rPr>
        <sz val="10"/>
        <rFont val="Arial"/>
        <family val="2"/>
      </rPr>
      <t xml:space="preserve"> - 1.75*M</t>
    </r>
    <r>
      <rPr>
        <vertAlign val="subscript"/>
        <sz val="10"/>
        <color theme="1"/>
        <rFont val="Arial"/>
        <family val="2"/>
      </rPr>
      <t>LS</t>
    </r>
    <r>
      <rPr>
        <sz val="10"/>
        <rFont val="Arial"/>
        <family val="2"/>
      </rPr>
      <t xml:space="preserve"> + 1.20*M</t>
    </r>
    <r>
      <rPr>
        <vertAlign val="subscript"/>
        <sz val="10"/>
        <color theme="1"/>
        <rFont val="Arial"/>
        <family val="2"/>
      </rPr>
      <t>TU</t>
    </r>
    <r>
      <rPr>
        <sz val="10"/>
        <rFont val="Arial"/>
        <family val="2"/>
      </rPr>
      <t xml:space="preserve"> + 1.75*M</t>
    </r>
    <r>
      <rPr>
        <vertAlign val="subscript"/>
        <sz val="10"/>
        <color theme="1"/>
        <rFont val="Arial"/>
        <family val="2"/>
      </rPr>
      <t>BR</t>
    </r>
    <r>
      <rPr>
        <sz val="10"/>
        <rFont val="Arial"/>
        <family val="2"/>
      </rPr>
      <t xml:space="preserve"> ]</t>
    </r>
  </si>
  <si>
    <t>No LL on Appr. Slab w/ LL Surch.</t>
  </si>
  <si>
    <t>Condition 4 =</t>
  </si>
  <si>
    <r>
      <rPr>
        <sz val="10"/>
        <color theme="1"/>
        <rFont val="Symbol"/>
        <family val="1"/>
        <charset val="2"/>
      </rPr>
      <t>h</t>
    </r>
    <r>
      <rPr>
        <vertAlign val="subscript"/>
        <sz val="10"/>
        <color theme="1"/>
        <rFont val="Arial"/>
        <family val="2"/>
      </rPr>
      <t>I</t>
    </r>
    <r>
      <rPr>
        <sz val="10"/>
        <rFont val="Arial"/>
        <family val="2"/>
      </rPr>
      <t xml:space="preserve"> * [ 1.25*(M</t>
    </r>
    <r>
      <rPr>
        <vertAlign val="subscript"/>
        <sz val="10"/>
        <color theme="1"/>
        <rFont val="Arial"/>
        <family val="2"/>
      </rPr>
      <t>SW</t>
    </r>
    <r>
      <rPr>
        <sz val="10"/>
        <rFont val="Arial"/>
        <family val="2"/>
      </rPr>
      <t xml:space="preserve"> + M</t>
    </r>
    <r>
      <rPr>
        <vertAlign val="subscript"/>
        <sz val="10"/>
        <color theme="1"/>
        <rFont val="Arial"/>
        <family val="2"/>
      </rPr>
      <t>SUP_DC</t>
    </r>
    <r>
      <rPr>
        <sz val="10"/>
        <rFont val="Arial"/>
        <family val="2"/>
      </rPr>
      <t>) + 1.5*M</t>
    </r>
    <r>
      <rPr>
        <vertAlign val="subscript"/>
        <sz val="10"/>
        <color theme="1"/>
        <rFont val="Arial"/>
        <family val="2"/>
      </rPr>
      <t>SUP_DW</t>
    </r>
    <r>
      <rPr>
        <sz val="10"/>
        <rFont val="Arial"/>
        <family val="2"/>
      </rPr>
      <t xml:space="preserve"> + 1.35*M</t>
    </r>
    <r>
      <rPr>
        <vertAlign val="subscript"/>
        <sz val="10"/>
        <color theme="1"/>
        <rFont val="Arial"/>
        <family val="2"/>
      </rPr>
      <t>EV</t>
    </r>
    <r>
      <rPr>
        <sz val="10"/>
        <rFont val="Arial"/>
        <family val="2"/>
      </rPr>
      <t xml:space="preserve"> + 1.75*M</t>
    </r>
    <r>
      <rPr>
        <vertAlign val="subscript"/>
        <sz val="10"/>
        <color theme="1"/>
        <rFont val="Arial"/>
        <family val="2"/>
      </rPr>
      <t>LL</t>
    </r>
    <r>
      <rPr>
        <sz val="10"/>
        <rFont val="Arial"/>
        <family val="2"/>
      </rPr>
      <t xml:space="preserve"> - 0.90*M</t>
    </r>
    <r>
      <rPr>
        <vertAlign val="subscript"/>
        <sz val="10"/>
        <color theme="1"/>
        <rFont val="Arial"/>
        <family val="2"/>
      </rPr>
      <t>EH</t>
    </r>
    <r>
      <rPr>
        <sz val="10"/>
        <rFont val="Arial"/>
        <family val="2"/>
      </rPr>
      <t xml:space="preserve"> - 1.75*M</t>
    </r>
    <r>
      <rPr>
        <vertAlign val="subscript"/>
        <sz val="10"/>
        <color theme="1"/>
        <rFont val="Arial"/>
        <family val="2"/>
      </rPr>
      <t>LS</t>
    </r>
    <r>
      <rPr>
        <sz val="10"/>
        <rFont val="Arial"/>
        <family val="2"/>
      </rPr>
      <t xml:space="preserve"> - 1.20*M</t>
    </r>
    <r>
      <rPr>
        <vertAlign val="subscript"/>
        <sz val="10"/>
        <color theme="1"/>
        <rFont val="Arial"/>
        <family val="2"/>
      </rPr>
      <t>TU</t>
    </r>
    <r>
      <rPr>
        <sz val="10"/>
        <rFont val="Arial"/>
        <family val="2"/>
      </rPr>
      <t xml:space="preserve"> - 1.75*M</t>
    </r>
    <r>
      <rPr>
        <vertAlign val="subscript"/>
        <sz val="10"/>
        <color theme="1"/>
        <rFont val="Arial"/>
        <family val="2"/>
      </rPr>
      <t>BR</t>
    </r>
    <r>
      <rPr>
        <sz val="10"/>
        <rFont val="Arial"/>
        <family val="2"/>
      </rPr>
      <t xml:space="preserve"> ]</t>
    </r>
  </si>
  <si>
    <t>Condition 5 =</t>
  </si>
  <si>
    <t>LL on Appr. Slab w/ LL Surch.</t>
  </si>
  <si>
    <t>Condition 6 =</t>
  </si>
  <si>
    <t>Condition 7 =</t>
  </si>
  <si>
    <r>
      <rPr>
        <sz val="10"/>
        <color theme="1"/>
        <rFont val="Symbol"/>
        <family val="1"/>
        <charset val="2"/>
      </rPr>
      <t>h</t>
    </r>
    <r>
      <rPr>
        <vertAlign val="subscript"/>
        <sz val="10"/>
        <color theme="1"/>
        <rFont val="Arial"/>
        <family val="2"/>
      </rPr>
      <t>I</t>
    </r>
    <r>
      <rPr>
        <sz val="10"/>
        <rFont val="Arial"/>
        <family val="2"/>
      </rPr>
      <t xml:space="preserve"> * [ 0.90*(M</t>
    </r>
    <r>
      <rPr>
        <vertAlign val="subscript"/>
        <sz val="10"/>
        <color theme="1"/>
        <rFont val="Arial"/>
        <family val="2"/>
      </rPr>
      <t>SW</t>
    </r>
    <r>
      <rPr>
        <sz val="10"/>
        <rFont val="Arial"/>
        <family val="2"/>
      </rPr>
      <t xml:space="preserve"> + M</t>
    </r>
    <r>
      <rPr>
        <vertAlign val="subscript"/>
        <sz val="10"/>
        <color theme="1"/>
        <rFont val="Arial"/>
        <family val="2"/>
      </rPr>
      <t>SUP_DC</t>
    </r>
    <r>
      <rPr>
        <sz val="10"/>
        <rFont val="Arial"/>
        <family val="2"/>
      </rPr>
      <t>) + 0.65*M</t>
    </r>
    <r>
      <rPr>
        <vertAlign val="subscript"/>
        <sz val="10"/>
        <color theme="1"/>
        <rFont val="Arial"/>
        <family val="2"/>
      </rPr>
      <t>SUP_DW</t>
    </r>
    <r>
      <rPr>
        <sz val="10"/>
        <rFont val="Arial"/>
        <family val="2"/>
      </rPr>
      <t xml:space="preserve"> + 1.00*M</t>
    </r>
    <r>
      <rPr>
        <vertAlign val="subscript"/>
        <sz val="10"/>
        <color theme="1"/>
        <rFont val="Arial"/>
        <family val="2"/>
      </rPr>
      <t>EV</t>
    </r>
    <r>
      <rPr>
        <sz val="10"/>
        <rFont val="Arial"/>
        <family val="2"/>
      </rPr>
      <t xml:space="preserve"> + 1.75*M</t>
    </r>
    <r>
      <rPr>
        <vertAlign val="subscript"/>
        <sz val="10"/>
        <color theme="1"/>
        <rFont val="Arial"/>
        <family val="2"/>
      </rPr>
      <t>LL</t>
    </r>
    <r>
      <rPr>
        <sz val="10"/>
        <rFont val="Arial"/>
        <family val="2"/>
      </rPr>
      <t xml:space="preserve"> - 1.35*M</t>
    </r>
    <r>
      <rPr>
        <vertAlign val="subscript"/>
        <sz val="10"/>
        <color theme="1"/>
        <rFont val="Arial"/>
        <family val="2"/>
      </rPr>
      <t>EH</t>
    </r>
    <r>
      <rPr>
        <sz val="10"/>
        <rFont val="Arial"/>
        <family val="2"/>
      </rPr>
      <t xml:space="preserve"> - 1.20*M</t>
    </r>
    <r>
      <rPr>
        <vertAlign val="subscript"/>
        <sz val="10"/>
        <color theme="1"/>
        <rFont val="Arial"/>
        <family val="2"/>
      </rPr>
      <t>TU</t>
    </r>
    <r>
      <rPr>
        <sz val="10"/>
        <rFont val="Arial"/>
        <family val="2"/>
      </rPr>
      <t xml:space="preserve"> - 1.75*M</t>
    </r>
    <r>
      <rPr>
        <vertAlign val="subscript"/>
        <sz val="10"/>
        <color theme="1"/>
        <rFont val="Arial"/>
        <family val="2"/>
      </rPr>
      <t>BR</t>
    </r>
    <r>
      <rPr>
        <sz val="10"/>
        <rFont val="Arial"/>
        <family val="2"/>
      </rPr>
      <t xml:space="preserve"> ]</t>
    </r>
  </si>
  <si>
    <t>Condition 8 =</t>
  </si>
  <si>
    <r>
      <rPr>
        <sz val="10"/>
        <color theme="1"/>
        <rFont val="Symbol"/>
        <family val="1"/>
        <charset val="2"/>
      </rPr>
      <t>h</t>
    </r>
    <r>
      <rPr>
        <vertAlign val="subscript"/>
        <sz val="10"/>
        <color theme="1"/>
        <rFont val="Arial"/>
        <family val="2"/>
      </rPr>
      <t>I</t>
    </r>
    <r>
      <rPr>
        <sz val="10"/>
        <rFont val="Arial"/>
        <family val="2"/>
      </rPr>
      <t xml:space="preserve"> * [ 0.90*(M</t>
    </r>
    <r>
      <rPr>
        <vertAlign val="subscript"/>
        <sz val="10"/>
        <color theme="1"/>
        <rFont val="Arial"/>
        <family val="2"/>
      </rPr>
      <t>SW</t>
    </r>
    <r>
      <rPr>
        <sz val="10"/>
        <rFont val="Arial"/>
        <family val="2"/>
      </rPr>
      <t xml:space="preserve"> + M</t>
    </r>
    <r>
      <rPr>
        <vertAlign val="subscript"/>
        <sz val="10"/>
        <color theme="1"/>
        <rFont val="Arial"/>
        <family val="2"/>
      </rPr>
      <t>SUP_DC</t>
    </r>
    <r>
      <rPr>
        <sz val="10"/>
        <rFont val="Arial"/>
        <family val="2"/>
      </rPr>
      <t>) + 0.65*M</t>
    </r>
    <r>
      <rPr>
        <vertAlign val="subscript"/>
        <sz val="10"/>
        <color theme="1"/>
        <rFont val="Arial"/>
        <family val="2"/>
      </rPr>
      <t>SUP_DW</t>
    </r>
    <r>
      <rPr>
        <sz val="10"/>
        <rFont val="Arial"/>
        <family val="2"/>
      </rPr>
      <t xml:space="preserve"> + 1.00*M</t>
    </r>
    <r>
      <rPr>
        <vertAlign val="subscript"/>
        <sz val="10"/>
        <color theme="1"/>
        <rFont val="Arial"/>
        <family val="2"/>
      </rPr>
      <t>EV</t>
    </r>
    <r>
      <rPr>
        <sz val="10"/>
        <rFont val="Arial"/>
        <family val="2"/>
      </rPr>
      <t xml:space="preserve"> + 1.75*M</t>
    </r>
    <r>
      <rPr>
        <vertAlign val="subscript"/>
        <sz val="10"/>
        <color theme="1"/>
        <rFont val="Arial"/>
        <family val="2"/>
      </rPr>
      <t>LL</t>
    </r>
    <r>
      <rPr>
        <sz val="10"/>
        <rFont val="Arial"/>
        <family val="2"/>
      </rPr>
      <t xml:space="preserve"> - 1.35*M</t>
    </r>
    <r>
      <rPr>
        <vertAlign val="subscript"/>
        <sz val="10"/>
        <color theme="1"/>
        <rFont val="Arial"/>
        <family val="2"/>
      </rPr>
      <t>EH</t>
    </r>
    <r>
      <rPr>
        <sz val="10"/>
        <rFont val="Arial"/>
        <family val="2"/>
      </rPr>
      <t xml:space="preserve"> + 1.20*M</t>
    </r>
    <r>
      <rPr>
        <vertAlign val="subscript"/>
        <sz val="10"/>
        <color theme="1"/>
        <rFont val="Arial"/>
        <family val="2"/>
      </rPr>
      <t>TU</t>
    </r>
    <r>
      <rPr>
        <sz val="10"/>
        <rFont val="Arial"/>
        <family val="2"/>
      </rPr>
      <t xml:space="preserve"> + 1.75*M</t>
    </r>
    <r>
      <rPr>
        <vertAlign val="subscript"/>
        <sz val="10"/>
        <color theme="1"/>
        <rFont val="Arial"/>
        <family val="2"/>
      </rPr>
      <t>BR</t>
    </r>
    <r>
      <rPr>
        <sz val="10"/>
        <rFont val="Arial"/>
        <family val="2"/>
      </rPr>
      <t xml:space="preserve"> ]</t>
    </r>
  </si>
  <si>
    <t>Condition 9 =</t>
  </si>
  <si>
    <r>
      <rPr>
        <sz val="10"/>
        <color theme="1"/>
        <rFont val="Symbol"/>
        <family val="1"/>
        <charset val="2"/>
      </rPr>
      <t>h</t>
    </r>
    <r>
      <rPr>
        <vertAlign val="subscript"/>
        <sz val="10"/>
        <color theme="1"/>
        <rFont val="Arial"/>
        <family val="2"/>
      </rPr>
      <t>I</t>
    </r>
    <r>
      <rPr>
        <sz val="10"/>
        <rFont val="Arial"/>
        <family val="2"/>
      </rPr>
      <t xml:space="preserve"> * [ 1.25*(M</t>
    </r>
    <r>
      <rPr>
        <vertAlign val="subscript"/>
        <sz val="10"/>
        <color theme="1"/>
        <rFont val="Arial"/>
        <family val="2"/>
      </rPr>
      <t>SW</t>
    </r>
    <r>
      <rPr>
        <sz val="10"/>
        <rFont val="Arial"/>
        <family val="2"/>
      </rPr>
      <t xml:space="preserve"> + M</t>
    </r>
    <r>
      <rPr>
        <vertAlign val="subscript"/>
        <sz val="10"/>
        <color theme="1"/>
        <rFont val="Arial"/>
        <family val="2"/>
      </rPr>
      <t>SUP_DC</t>
    </r>
    <r>
      <rPr>
        <sz val="10"/>
        <rFont val="Arial"/>
        <family val="2"/>
      </rPr>
      <t>) + 1.5*M</t>
    </r>
    <r>
      <rPr>
        <vertAlign val="subscript"/>
        <sz val="10"/>
        <color theme="1"/>
        <rFont val="Arial"/>
        <family val="2"/>
      </rPr>
      <t>SUP_DW</t>
    </r>
    <r>
      <rPr>
        <sz val="10"/>
        <rFont val="Arial"/>
        <family val="2"/>
      </rPr>
      <t xml:space="preserve"> + 1.35*M</t>
    </r>
    <r>
      <rPr>
        <vertAlign val="subscript"/>
        <sz val="10"/>
        <color theme="1"/>
        <rFont val="Arial"/>
        <family val="2"/>
      </rPr>
      <t>EV</t>
    </r>
    <r>
      <rPr>
        <sz val="10"/>
        <rFont val="Arial"/>
        <family val="2"/>
      </rPr>
      <t xml:space="preserve"> + 1.75*M</t>
    </r>
    <r>
      <rPr>
        <vertAlign val="subscript"/>
        <sz val="10"/>
        <color theme="1"/>
        <rFont val="Arial"/>
        <family val="2"/>
      </rPr>
      <t>LL</t>
    </r>
    <r>
      <rPr>
        <sz val="10"/>
        <rFont val="Arial"/>
        <family val="2"/>
      </rPr>
      <t xml:space="preserve"> - 1.35*M</t>
    </r>
    <r>
      <rPr>
        <vertAlign val="subscript"/>
        <sz val="10"/>
        <color theme="1"/>
        <rFont val="Arial"/>
        <family val="2"/>
      </rPr>
      <t>EH</t>
    </r>
    <r>
      <rPr>
        <sz val="10"/>
        <rFont val="Arial"/>
        <family val="2"/>
      </rPr>
      <t xml:space="preserve"> - 1.20*M</t>
    </r>
    <r>
      <rPr>
        <vertAlign val="subscript"/>
        <sz val="10"/>
        <color theme="1"/>
        <rFont val="Arial"/>
        <family val="2"/>
      </rPr>
      <t>TU</t>
    </r>
    <r>
      <rPr>
        <sz val="10"/>
        <rFont val="Arial"/>
        <family val="2"/>
      </rPr>
      <t xml:space="preserve"> - 1.75*M</t>
    </r>
    <r>
      <rPr>
        <vertAlign val="subscript"/>
        <sz val="10"/>
        <color theme="1"/>
        <rFont val="Arial"/>
        <family val="2"/>
      </rPr>
      <t>BR</t>
    </r>
    <r>
      <rPr>
        <sz val="10"/>
        <rFont val="Arial"/>
        <family val="2"/>
      </rPr>
      <t xml:space="preserve"> ]</t>
    </r>
  </si>
  <si>
    <t>Condition 10 =</t>
  </si>
  <si>
    <r>
      <rPr>
        <sz val="10"/>
        <color theme="1"/>
        <rFont val="Symbol"/>
        <family val="1"/>
        <charset val="2"/>
      </rPr>
      <t>h</t>
    </r>
    <r>
      <rPr>
        <vertAlign val="subscript"/>
        <sz val="10"/>
        <color theme="1"/>
        <rFont val="Arial"/>
        <family val="2"/>
      </rPr>
      <t>I</t>
    </r>
    <r>
      <rPr>
        <sz val="10"/>
        <rFont val="Arial"/>
        <family val="2"/>
      </rPr>
      <t xml:space="preserve"> * [ 1.25*(M</t>
    </r>
    <r>
      <rPr>
        <vertAlign val="subscript"/>
        <sz val="10"/>
        <color theme="1"/>
        <rFont val="Arial"/>
        <family val="2"/>
      </rPr>
      <t>SW</t>
    </r>
    <r>
      <rPr>
        <sz val="10"/>
        <rFont val="Arial"/>
        <family val="2"/>
      </rPr>
      <t xml:space="preserve"> + M</t>
    </r>
    <r>
      <rPr>
        <vertAlign val="subscript"/>
        <sz val="10"/>
        <color theme="1"/>
        <rFont val="Arial"/>
        <family val="2"/>
      </rPr>
      <t>SUP_DC</t>
    </r>
    <r>
      <rPr>
        <sz val="10"/>
        <rFont val="Arial"/>
        <family val="2"/>
      </rPr>
      <t>) + 1.5*M</t>
    </r>
    <r>
      <rPr>
        <vertAlign val="subscript"/>
        <sz val="10"/>
        <color theme="1"/>
        <rFont val="Arial"/>
        <family val="2"/>
      </rPr>
      <t>SUP_DW</t>
    </r>
    <r>
      <rPr>
        <sz val="10"/>
        <rFont val="Arial"/>
        <family val="2"/>
      </rPr>
      <t xml:space="preserve"> + 1.35*M</t>
    </r>
    <r>
      <rPr>
        <vertAlign val="subscript"/>
        <sz val="10"/>
        <color theme="1"/>
        <rFont val="Arial"/>
        <family val="2"/>
      </rPr>
      <t>EV</t>
    </r>
    <r>
      <rPr>
        <sz val="10"/>
        <rFont val="Arial"/>
        <family val="2"/>
      </rPr>
      <t xml:space="preserve"> + 1.75*M</t>
    </r>
    <r>
      <rPr>
        <vertAlign val="subscript"/>
        <sz val="10"/>
        <color theme="1"/>
        <rFont val="Arial"/>
        <family val="2"/>
      </rPr>
      <t>LL</t>
    </r>
    <r>
      <rPr>
        <sz val="10"/>
        <rFont val="Arial"/>
        <family val="2"/>
      </rPr>
      <t xml:space="preserve"> - 1.35*M</t>
    </r>
    <r>
      <rPr>
        <vertAlign val="subscript"/>
        <sz val="10"/>
        <color theme="1"/>
        <rFont val="Arial"/>
        <family val="2"/>
      </rPr>
      <t>EH</t>
    </r>
    <r>
      <rPr>
        <sz val="10"/>
        <rFont val="Arial"/>
        <family val="2"/>
      </rPr>
      <t xml:space="preserve"> + 1.20*M</t>
    </r>
    <r>
      <rPr>
        <vertAlign val="subscript"/>
        <sz val="10"/>
        <color theme="1"/>
        <rFont val="Arial"/>
        <family val="2"/>
      </rPr>
      <t>TU</t>
    </r>
    <r>
      <rPr>
        <sz val="10"/>
        <rFont val="Arial"/>
        <family val="2"/>
      </rPr>
      <t xml:space="preserve"> + 1.75*M</t>
    </r>
    <r>
      <rPr>
        <vertAlign val="subscript"/>
        <sz val="10"/>
        <color theme="1"/>
        <rFont val="Arial"/>
        <family val="2"/>
      </rPr>
      <t>BR</t>
    </r>
    <r>
      <rPr>
        <sz val="10"/>
        <rFont val="Arial"/>
        <family val="2"/>
      </rPr>
      <t xml:space="preserve"> ]</t>
    </r>
  </si>
  <si>
    <t>Condition 11 =</t>
  </si>
  <si>
    <r>
      <rPr>
        <sz val="10"/>
        <color theme="1"/>
        <rFont val="Symbol"/>
        <family val="1"/>
        <charset val="2"/>
      </rPr>
      <t>h</t>
    </r>
    <r>
      <rPr>
        <vertAlign val="subscript"/>
        <sz val="10"/>
        <color theme="1"/>
        <rFont val="Arial"/>
        <family val="2"/>
      </rPr>
      <t>I</t>
    </r>
    <r>
      <rPr>
        <sz val="10"/>
        <rFont val="Arial"/>
        <family val="2"/>
      </rPr>
      <t xml:space="preserve"> * [ 1.25*(M</t>
    </r>
    <r>
      <rPr>
        <vertAlign val="subscript"/>
        <sz val="10"/>
        <color theme="1"/>
        <rFont val="Arial"/>
        <family val="2"/>
      </rPr>
      <t>SW</t>
    </r>
    <r>
      <rPr>
        <sz val="10"/>
        <rFont val="Arial"/>
        <family val="2"/>
      </rPr>
      <t xml:space="preserve"> + M</t>
    </r>
    <r>
      <rPr>
        <vertAlign val="subscript"/>
        <sz val="10"/>
        <color theme="1"/>
        <rFont val="Arial"/>
        <family val="2"/>
      </rPr>
      <t>SUP_DC</t>
    </r>
    <r>
      <rPr>
        <sz val="10"/>
        <rFont val="Arial"/>
        <family val="2"/>
      </rPr>
      <t>) + 1.5*M</t>
    </r>
    <r>
      <rPr>
        <vertAlign val="subscript"/>
        <sz val="10"/>
        <color theme="1"/>
        <rFont val="Arial"/>
        <family val="2"/>
      </rPr>
      <t>SUP_DW</t>
    </r>
    <r>
      <rPr>
        <sz val="10"/>
        <rFont val="Arial"/>
        <family val="2"/>
      </rPr>
      <t xml:space="preserve"> + 1.35*M</t>
    </r>
    <r>
      <rPr>
        <vertAlign val="subscript"/>
        <sz val="10"/>
        <color theme="1"/>
        <rFont val="Arial"/>
        <family val="2"/>
      </rPr>
      <t>EV</t>
    </r>
    <r>
      <rPr>
        <sz val="10"/>
        <rFont val="Arial"/>
        <family val="2"/>
      </rPr>
      <t xml:space="preserve"> + 1.75*M</t>
    </r>
    <r>
      <rPr>
        <vertAlign val="subscript"/>
        <sz val="10"/>
        <color theme="1"/>
        <rFont val="Arial"/>
        <family val="2"/>
      </rPr>
      <t>LL</t>
    </r>
    <r>
      <rPr>
        <sz val="10"/>
        <rFont val="Arial"/>
        <family val="2"/>
      </rPr>
      <t xml:space="preserve"> - 1.35*M</t>
    </r>
    <r>
      <rPr>
        <vertAlign val="subscript"/>
        <sz val="10"/>
        <color theme="1"/>
        <rFont val="Arial"/>
        <family val="2"/>
      </rPr>
      <t>EH</t>
    </r>
    <r>
      <rPr>
        <sz val="10"/>
        <rFont val="Arial"/>
        <family val="2"/>
      </rPr>
      <t xml:space="preserve"> - 1.75*M</t>
    </r>
    <r>
      <rPr>
        <vertAlign val="subscript"/>
        <sz val="10"/>
        <color theme="1"/>
        <rFont val="Arial"/>
        <family val="2"/>
      </rPr>
      <t>LS</t>
    </r>
    <r>
      <rPr>
        <sz val="10"/>
        <rFont val="Arial"/>
        <family val="2"/>
      </rPr>
      <t xml:space="preserve"> + 1.20*M</t>
    </r>
    <r>
      <rPr>
        <vertAlign val="subscript"/>
        <sz val="10"/>
        <color theme="1"/>
        <rFont val="Arial"/>
        <family val="2"/>
      </rPr>
      <t>TU</t>
    </r>
    <r>
      <rPr>
        <sz val="10"/>
        <rFont val="Arial"/>
        <family val="2"/>
      </rPr>
      <t xml:space="preserve"> + 1.75*M</t>
    </r>
    <r>
      <rPr>
        <vertAlign val="subscript"/>
        <sz val="10"/>
        <color theme="1"/>
        <rFont val="Arial"/>
        <family val="2"/>
      </rPr>
      <t>BR</t>
    </r>
    <r>
      <rPr>
        <sz val="10"/>
        <rFont val="Arial"/>
        <family val="2"/>
      </rPr>
      <t xml:space="preserve"> ]</t>
    </r>
  </si>
  <si>
    <t>Condition 12 =</t>
  </si>
  <si>
    <r>
      <rPr>
        <sz val="10"/>
        <color theme="1"/>
        <rFont val="Symbol"/>
        <family val="1"/>
        <charset val="2"/>
      </rPr>
      <t>h</t>
    </r>
    <r>
      <rPr>
        <vertAlign val="subscript"/>
        <sz val="10"/>
        <color theme="1"/>
        <rFont val="Arial"/>
        <family val="2"/>
      </rPr>
      <t>I</t>
    </r>
    <r>
      <rPr>
        <sz val="10"/>
        <rFont val="Arial"/>
        <family val="2"/>
      </rPr>
      <t xml:space="preserve"> * [ 1.25*(M</t>
    </r>
    <r>
      <rPr>
        <vertAlign val="subscript"/>
        <sz val="10"/>
        <color theme="1"/>
        <rFont val="Arial"/>
        <family val="2"/>
      </rPr>
      <t>SW</t>
    </r>
    <r>
      <rPr>
        <sz val="10"/>
        <rFont val="Arial"/>
        <family val="2"/>
      </rPr>
      <t xml:space="preserve"> + M</t>
    </r>
    <r>
      <rPr>
        <vertAlign val="subscript"/>
        <sz val="10"/>
        <color theme="1"/>
        <rFont val="Arial"/>
        <family val="2"/>
      </rPr>
      <t>SUP_DC</t>
    </r>
    <r>
      <rPr>
        <sz val="10"/>
        <rFont val="Arial"/>
        <family val="2"/>
      </rPr>
      <t>) + 1.5*M</t>
    </r>
    <r>
      <rPr>
        <vertAlign val="subscript"/>
        <sz val="10"/>
        <color theme="1"/>
        <rFont val="Arial"/>
        <family val="2"/>
      </rPr>
      <t>SUP_DW</t>
    </r>
    <r>
      <rPr>
        <sz val="10"/>
        <rFont val="Arial"/>
        <family val="2"/>
      </rPr>
      <t xml:space="preserve"> + 1.35*M</t>
    </r>
    <r>
      <rPr>
        <vertAlign val="subscript"/>
        <sz val="10"/>
        <color theme="1"/>
        <rFont val="Arial"/>
        <family val="2"/>
      </rPr>
      <t>EV</t>
    </r>
    <r>
      <rPr>
        <sz val="10"/>
        <rFont val="Arial"/>
        <family val="2"/>
      </rPr>
      <t xml:space="preserve"> + 1.75*M</t>
    </r>
    <r>
      <rPr>
        <vertAlign val="subscript"/>
        <sz val="10"/>
        <color theme="1"/>
        <rFont val="Arial"/>
        <family val="2"/>
      </rPr>
      <t>LL</t>
    </r>
    <r>
      <rPr>
        <sz val="10"/>
        <rFont val="Arial"/>
        <family val="2"/>
      </rPr>
      <t xml:space="preserve"> - 1.35*M</t>
    </r>
    <r>
      <rPr>
        <vertAlign val="subscript"/>
        <sz val="10"/>
        <color theme="1"/>
        <rFont val="Arial"/>
        <family val="2"/>
      </rPr>
      <t>EH</t>
    </r>
    <r>
      <rPr>
        <sz val="10"/>
        <rFont val="Arial"/>
        <family val="2"/>
      </rPr>
      <t xml:space="preserve"> - 1.75*M</t>
    </r>
    <r>
      <rPr>
        <vertAlign val="subscript"/>
        <sz val="10"/>
        <color theme="1"/>
        <rFont val="Arial"/>
        <family val="2"/>
      </rPr>
      <t>LS</t>
    </r>
    <r>
      <rPr>
        <sz val="10"/>
        <rFont val="Arial"/>
        <family val="2"/>
      </rPr>
      <t xml:space="preserve"> - 1.20*M</t>
    </r>
    <r>
      <rPr>
        <vertAlign val="subscript"/>
        <sz val="10"/>
        <color theme="1"/>
        <rFont val="Arial"/>
        <family val="2"/>
      </rPr>
      <t>TU</t>
    </r>
    <r>
      <rPr>
        <sz val="10"/>
        <rFont val="Arial"/>
        <family val="2"/>
      </rPr>
      <t xml:space="preserve"> - 1.75*M</t>
    </r>
    <r>
      <rPr>
        <vertAlign val="subscript"/>
        <sz val="10"/>
        <color theme="1"/>
        <rFont val="Arial"/>
        <family val="2"/>
      </rPr>
      <t>BR</t>
    </r>
    <r>
      <rPr>
        <sz val="10"/>
        <rFont val="Arial"/>
        <family val="2"/>
      </rPr>
      <t xml:space="preserve"> ]</t>
    </r>
  </si>
  <si>
    <t>Condition 13 =</t>
  </si>
  <si>
    <t>Condition 14 =</t>
  </si>
  <si>
    <r>
      <rPr>
        <sz val="10"/>
        <color theme="1"/>
        <rFont val="Symbol"/>
        <family val="1"/>
        <charset val="2"/>
      </rPr>
      <t>S</t>
    </r>
    <r>
      <rPr>
        <sz val="10"/>
        <rFont val="Arial"/>
        <family val="2"/>
      </rPr>
      <t>M</t>
    </r>
    <r>
      <rPr>
        <vertAlign val="subscript"/>
        <sz val="10"/>
        <color theme="1"/>
        <rFont val="Arial"/>
        <family val="2"/>
      </rPr>
      <t>o</t>
    </r>
    <r>
      <rPr>
        <sz val="10"/>
        <rFont val="Arial"/>
        <family val="2"/>
      </rPr>
      <t xml:space="preserve"> =</t>
    </r>
  </si>
  <si>
    <t>Sum of Factored Moments about Point o (front toe of abutment) for Loading Condition</t>
  </si>
  <si>
    <r>
      <rPr>
        <sz val="10"/>
        <color theme="1"/>
        <rFont val="Symbol"/>
        <family val="1"/>
        <charset val="2"/>
      </rPr>
      <t>S</t>
    </r>
    <r>
      <rPr>
        <sz val="10"/>
        <rFont val="Arial"/>
        <family val="2"/>
      </rPr>
      <t>V =</t>
    </r>
  </si>
  <si>
    <t>Sum of Factored Vertical Loads for Loading Condtion</t>
  </si>
  <si>
    <r>
      <t>e</t>
    </r>
    <r>
      <rPr>
        <vertAlign val="subscript"/>
        <sz val="10"/>
        <color theme="1"/>
        <rFont val="Arial"/>
        <family val="2"/>
      </rPr>
      <t>o</t>
    </r>
    <r>
      <rPr>
        <sz val="10"/>
        <rFont val="Arial"/>
        <family val="2"/>
      </rPr>
      <t xml:space="preserve"> = </t>
    </r>
    <r>
      <rPr>
        <sz val="10"/>
        <color theme="1"/>
        <rFont val="Symbol"/>
        <family val="1"/>
        <charset val="2"/>
      </rPr>
      <t>S</t>
    </r>
    <r>
      <rPr>
        <sz val="10"/>
        <rFont val="Arial"/>
        <family val="2"/>
      </rPr>
      <t>M</t>
    </r>
    <r>
      <rPr>
        <vertAlign val="subscript"/>
        <sz val="10"/>
        <color theme="1"/>
        <rFont val="Arial"/>
        <family val="2"/>
      </rPr>
      <t>o</t>
    </r>
    <r>
      <rPr>
        <sz val="10"/>
        <rFont val="Arial"/>
        <family val="2"/>
      </rPr>
      <t xml:space="preserve"> / </t>
    </r>
    <r>
      <rPr>
        <sz val="10"/>
        <color theme="1"/>
        <rFont val="Symbol"/>
        <family val="1"/>
        <charset val="2"/>
      </rPr>
      <t>S</t>
    </r>
    <r>
      <rPr>
        <sz val="10"/>
        <rFont val="Arial"/>
        <family val="2"/>
      </rPr>
      <t>V =</t>
    </r>
  </si>
  <si>
    <t>Location of Resultant, measured from Point o (front toe of abutment)</t>
  </si>
  <si>
    <r>
      <t>M</t>
    </r>
    <r>
      <rPr>
        <vertAlign val="subscript"/>
        <sz val="10"/>
        <color theme="1"/>
        <rFont val="Arial"/>
        <family val="2"/>
      </rPr>
      <t>Pile</t>
    </r>
    <r>
      <rPr>
        <sz val="10"/>
        <rFont val="Arial"/>
        <family val="2"/>
      </rPr>
      <t xml:space="preserve"> = </t>
    </r>
    <r>
      <rPr>
        <sz val="10"/>
        <color theme="1"/>
        <rFont val="Symbol"/>
        <family val="1"/>
        <charset val="2"/>
      </rPr>
      <t>S</t>
    </r>
    <r>
      <rPr>
        <sz val="10"/>
        <rFont val="Arial"/>
        <family val="2"/>
      </rPr>
      <t>V*(CG</t>
    </r>
    <r>
      <rPr>
        <vertAlign val="subscript"/>
        <sz val="10"/>
        <color theme="1"/>
        <rFont val="Arial"/>
        <family val="2"/>
      </rPr>
      <t>Pile</t>
    </r>
    <r>
      <rPr>
        <sz val="10"/>
        <rFont val="Arial"/>
        <family val="2"/>
      </rPr>
      <t xml:space="preserve"> - e</t>
    </r>
    <r>
      <rPr>
        <vertAlign val="subscript"/>
        <sz val="10"/>
        <color theme="1"/>
        <rFont val="Arial"/>
        <family val="2"/>
      </rPr>
      <t>o</t>
    </r>
    <r>
      <rPr>
        <sz val="10"/>
        <rFont val="Arial"/>
        <family val="2"/>
      </rPr>
      <t>) =</t>
    </r>
  </si>
  <si>
    <t>Moment about Center of Gravity of Pile Group</t>
  </si>
  <si>
    <r>
      <t>V</t>
    </r>
    <r>
      <rPr>
        <vertAlign val="subscript"/>
        <sz val="10"/>
        <color theme="1"/>
        <rFont val="Arial"/>
        <family val="2"/>
      </rPr>
      <t>Pile</t>
    </r>
    <r>
      <rPr>
        <sz val="10"/>
        <rFont val="Arial"/>
        <family val="2"/>
      </rPr>
      <t xml:space="preserve"> = (</t>
    </r>
    <r>
      <rPr>
        <sz val="10"/>
        <color theme="1"/>
        <rFont val="Symbol"/>
        <family val="1"/>
        <charset val="2"/>
      </rPr>
      <t>S</t>
    </r>
    <r>
      <rPr>
        <sz val="10"/>
        <rFont val="Arial"/>
        <family val="2"/>
      </rPr>
      <t>V / A</t>
    </r>
    <r>
      <rPr>
        <vertAlign val="subscript"/>
        <sz val="10"/>
        <color theme="1"/>
        <rFont val="Arial"/>
        <family val="2"/>
      </rPr>
      <t>Pile</t>
    </r>
    <r>
      <rPr>
        <sz val="10"/>
        <rFont val="Arial"/>
        <family val="2"/>
      </rPr>
      <t>) +/- [(M</t>
    </r>
    <r>
      <rPr>
        <vertAlign val="subscript"/>
        <sz val="10"/>
        <color theme="1"/>
        <rFont val="Arial"/>
        <family val="2"/>
      </rPr>
      <t>Pile</t>
    </r>
    <r>
      <rPr>
        <sz val="10"/>
        <rFont val="Arial"/>
        <family val="2"/>
      </rPr>
      <t>*d)/I</t>
    </r>
    <r>
      <rPr>
        <vertAlign val="subscript"/>
        <sz val="10"/>
        <color theme="1"/>
        <rFont val="Arial"/>
        <family val="2"/>
      </rPr>
      <t>Pile</t>
    </r>
    <r>
      <rPr>
        <sz val="10"/>
        <rFont val="Arial"/>
        <family val="2"/>
      </rPr>
      <t>]</t>
    </r>
  </si>
  <si>
    <t>REAR ABUTMENT - FACTORED PILE LOADS</t>
  </si>
  <si>
    <t>Strength I Load Condition</t>
  </si>
  <si>
    <r>
      <rPr>
        <sz val="10"/>
        <color theme="1"/>
        <rFont val="Symbol"/>
        <family val="1"/>
        <charset val="2"/>
      </rPr>
      <t>S</t>
    </r>
    <r>
      <rPr>
        <sz val="10"/>
        <rFont val="Arial"/>
        <family val="2"/>
      </rPr>
      <t>V (kips)</t>
    </r>
  </si>
  <si>
    <r>
      <t>e</t>
    </r>
    <r>
      <rPr>
        <vertAlign val="subscript"/>
        <sz val="10"/>
        <color theme="1"/>
        <rFont val="Arial"/>
        <family val="2"/>
      </rPr>
      <t>o</t>
    </r>
    <r>
      <rPr>
        <sz val="10"/>
        <rFont val="Arial"/>
        <family val="2"/>
      </rPr>
      <t xml:space="preserve"> (ft)</t>
    </r>
  </si>
  <si>
    <r>
      <rPr>
        <sz val="10"/>
        <color theme="1"/>
        <rFont val="Symbol"/>
        <family val="1"/>
        <charset val="2"/>
      </rPr>
      <t>S</t>
    </r>
    <r>
      <rPr>
        <sz val="10"/>
        <rFont val="Arial"/>
        <family val="2"/>
      </rPr>
      <t>M</t>
    </r>
    <r>
      <rPr>
        <vertAlign val="subscript"/>
        <sz val="10"/>
        <color theme="1"/>
        <rFont val="Arial"/>
        <family val="2"/>
      </rPr>
      <t>o</t>
    </r>
    <r>
      <rPr>
        <sz val="10"/>
        <rFont val="Arial"/>
        <family val="2"/>
      </rPr>
      <t xml:space="preserve"> (k-ft)</t>
    </r>
  </si>
  <si>
    <r>
      <t>M</t>
    </r>
    <r>
      <rPr>
        <vertAlign val="subscript"/>
        <sz val="10"/>
        <color theme="1"/>
        <rFont val="Arial"/>
        <family val="2"/>
      </rPr>
      <t>Pile</t>
    </r>
    <r>
      <rPr>
        <sz val="10"/>
        <rFont val="Arial"/>
        <family val="2"/>
      </rPr>
      <t xml:space="preserve"> (k-ft)</t>
    </r>
  </si>
  <si>
    <r>
      <t>V</t>
    </r>
    <r>
      <rPr>
        <vertAlign val="subscript"/>
        <sz val="10"/>
        <color theme="1"/>
        <rFont val="Arial"/>
        <family val="2"/>
      </rPr>
      <t>Pile</t>
    </r>
    <r>
      <rPr>
        <sz val="10"/>
        <rFont val="Arial"/>
        <family val="2"/>
      </rPr>
      <t xml:space="preserve"> (kips)</t>
    </r>
  </si>
  <si>
    <t>Front Row</t>
  </si>
  <si>
    <t>Back Row</t>
  </si>
  <si>
    <t>Condition 1</t>
  </si>
  <si>
    <r>
      <rPr>
        <sz val="6"/>
        <color theme="1"/>
        <rFont val="Symbol"/>
        <family val="1"/>
        <charset val="2"/>
      </rPr>
      <t>h</t>
    </r>
    <r>
      <rPr>
        <vertAlign val="subscript"/>
        <sz val="6"/>
        <color theme="1"/>
        <rFont val="Arial"/>
        <family val="2"/>
      </rPr>
      <t>I</t>
    </r>
    <r>
      <rPr>
        <sz val="6"/>
        <color theme="1"/>
        <rFont val="Arial"/>
        <family val="2"/>
      </rPr>
      <t xml:space="preserve"> * [ 1.25*(M</t>
    </r>
    <r>
      <rPr>
        <vertAlign val="subscript"/>
        <sz val="6"/>
        <color theme="1"/>
        <rFont val="Arial"/>
        <family val="2"/>
      </rPr>
      <t>SW</t>
    </r>
    <r>
      <rPr>
        <sz val="6"/>
        <color theme="1"/>
        <rFont val="Arial"/>
        <family val="2"/>
      </rPr>
      <t xml:space="preserve"> + M</t>
    </r>
    <r>
      <rPr>
        <vertAlign val="subscript"/>
        <sz val="6"/>
        <color theme="1"/>
        <rFont val="Arial"/>
        <family val="2"/>
      </rPr>
      <t>SUP_DC</t>
    </r>
    <r>
      <rPr>
        <sz val="6"/>
        <color theme="1"/>
        <rFont val="Arial"/>
        <family val="2"/>
      </rPr>
      <t>) + 1.5*M</t>
    </r>
    <r>
      <rPr>
        <vertAlign val="subscript"/>
        <sz val="6"/>
        <color theme="1"/>
        <rFont val="Arial"/>
        <family val="2"/>
      </rPr>
      <t>SUP_DW</t>
    </r>
    <r>
      <rPr>
        <sz val="6"/>
        <color theme="1"/>
        <rFont val="Arial"/>
        <family val="2"/>
      </rPr>
      <t xml:space="preserve"> + 1.35*M</t>
    </r>
    <r>
      <rPr>
        <vertAlign val="subscript"/>
        <sz val="6"/>
        <color theme="1"/>
        <rFont val="Arial"/>
        <family val="2"/>
      </rPr>
      <t>EV</t>
    </r>
    <r>
      <rPr>
        <sz val="6"/>
        <color theme="1"/>
        <rFont val="Arial"/>
        <family val="2"/>
      </rPr>
      <t xml:space="preserve"> + 1.75*M</t>
    </r>
    <r>
      <rPr>
        <vertAlign val="subscript"/>
        <sz val="6"/>
        <color theme="1"/>
        <rFont val="Arial"/>
        <family val="2"/>
      </rPr>
      <t>LL</t>
    </r>
    <r>
      <rPr>
        <sz val="6"/>
        <color theme="1"/>
        <rFont val="Arial"/>
        <family val="2"/>
      </rPr>
      <t xml:space="preserve"> - 0.90*M</t>
    </r>
    <r>
      <rPr>
        <vertAlign val="subscript"/>
        <sz val="6"/>
        <color theme="1"/>
        <rFont val="Arial"/>
        <family val="2"/>
      </rPr>
      <t>EH</t>
    </r>
    <r>
      <rPr>
        <sz val="6"/>
        <color theme="1"/>
        <rFont val="Arial"/>
        <family val="2"/>
      </rPr>
      <t xml:space="preserve"> + 1.20*M</t>
    </r>
    <r>
      <rPr>
        <vertAlign val="subscript"/>
        <sz val="6"/>
        <color theme="1"/>
        <rFont val="Arial"/>
        <family val="2"/>
      </rPr>
      <t>TU</t>
    </r>
    <r>
      <rPr>
        <sz val="6"/>
        <color theme="1"/>
        <rFont val="Arial"/>
        <family val="2"/>
      </rPr>
      <t xml:space="preserve"> + 1.75*M</t>
    </r>
    <r>
      <rPr>
        <vertAlign val="subscript"/>
        <sz val="6"/>
        <color theme="1"/>
        <rFont val="Arial"/>
        <family val="2"/>
      </rPr>
      <t>BR</t>
    </r>
    <r>
      <rPr>
        <sz val="6"/>
        <color theme="1"/>
        <rFont val="Arial"/>
        <family val="2"/>
      </rPr>
      <t xml:space="preserve"> ]</t>
    </r>
  </si>
  <si>
    <t>Condition 2</t>
  </si>
  <si>
    <r>
      <rPr>
        <sz val="6"/>
        <color theme="1"/>
        <rFont val="Symbol"/>
        <family val="1"/>
        <charset val="2"/>
      </rPr>
      <t>h</t>
    </r>
    <r>
      <rPr>
        <vertAlign val="subscript"/>
        <sz val="6"/>
        <color theme="1"/>
        <rFont val="Arial"/>
        <family val="2"/>
      </rPr>
      <t>I</t>
    </r>
    <r>
      <rPr>
        <sz val="6"/>
        <color theme="1"/>
        <rFont val="Arial"/>
        <family val="2"/>
      </rPr>
      <t xml:space="preserve"> * [ 1.25*(M</t>
    </r>
    <r>
      <rPr>
        <vertAlign val="subscript"/>
        <sz val="6"/>
        <color theme="1"/>
        <rFont val="Arial"/>
        <family val="2"/>
      </rPr>
      <t>SW</t>
    </r>
    <r>
      <rPr>
        <sz val="6"/>
        <color theme="1"/>
        <rFont val="Arial"/>
        <family val="2"/>
      </rPr>
      <t xml:space="preserve"> + M</t>
    </r>
    <r>
      <rPr>
        <vertAlign val="subscript"/>
        <sz val="6"/>
        <color theme="1"/>
        <rFont val="Arial"/>
        <family val="2"/>
      </rPr>
      <t>SUP_DC</t>
    </r>
    <r>
      <rPr>
        <sz val="6"/>
        <color theme="1"/>
        <rFont val="Arial"/>
        <family val="2"/>
      </rPr>
      <t>) + 1.5*M</t>
    </r>
    <r>
      <rPr>
        <vertAlign val="subscript"/>
        <sz val="6"/>
        <color theme="1"/>
        <rFont val="Arial"/>
        <family val="2"/>
      </rPr>
      <t>SUP_DW</t>
    </r>
    <r>
      <rPr>
        <sz val="6"/>
        <color theme="1"/>
        <rFont val="Arial"/>
        <family val="2"/>
      </rPr>
      <t xml:space="preserve"> + 1.35*M</t>
    </r>
    <r>
      <rPr>
        <vertAlign val="subscript"/>
        <sz val="6"/>
        <color theme="1"/>
        <rFont val="Arial"/>
        <family val="2"/>
      </rPr>
      <t>EV</t>
    </r>
    <r>
      <rPr>
        <sz val="6"/>
        <color theme="1"/>
        <rFont val="Arial"/>
        <family val="2"/>
      </rPr>
      <t xml:space="preserve"> + 1.75*M</t>
    </r>
    <r>
      <rPr>
        <vertAlign val="subscript"/>
        <sz val="6"/>
        <color theme="1"/>
        <rFont val="Arial"/>
        <family val="2"/>
      </rPr>
      <t>LL</t>
    </r>
    <r>
      <rPr>
        <sz val="6"/>
        <color theme="1"/>
        <rFont val="Arial"/>
        <family val="2"/>
      </rPr>
      <t xml:space="preserve"> - 0.90*M</t>
    </r>
    <r>
      <rPr>
        <vertAlign val="subscript"/>
        <sz val="6"/>
        <color theme="1"/>
        <rFont val="Arial"/>
        <family val="2"/>
      </rPr>
      <t>EH</t>
    </r>
    <r>
      <rPr>
        <sz val="6"/>
        <color theme="1"/>
        <rFont val="Arial"/>
        <family val="2"/>
      </rPr>
      <t xml:space="preserve"> - 1.20*M</t>
    </r>
    <r>
      <rPr>
        <vertAlign val="subscript"/>
        <sz val="6"/>
        <color theme="1"/>
        <rFont val="Arial"/>
        <family val="2"/>
      </rPr>
      <t>TU</t>
    </r>
    <r>
      <rPr>
        <sz val="6"/>
        <color theme="1"/>
        <rFont val="Arial"/>
        <family val="2"/>
      </rPr>
      <t xml:space="preserve"> - 1.75*M</t>
    </r>
    <r>
      <rPr>
        <vertAlign val="subscript"/>
        <sz val="6"/>
        <color theme="1"/>
        <rFont val="Arial"/>
        <family val="2"/>
      </rPr>
      <t>BR</t>
    </r>
    <r>
      <rPr>
        <sz val="6"/>
        <color theme="1"/>
        <rFont val="Arial"/>
        <family val="2"/>
      </rPr>
      <t xml:space="preserve"> ]</t>
    </r>
  </si>
  <si>
    <t>Condition 3</t>
  </si>
  <si>
    <r>
      <rPr>
        <sz val="6"/>
        <color theme="1"/>
        <rFont val="Symbol"/>
        <family val="1"/>
        <charset val="2"/>
      </rPr>
      <t>h</t>
    </r>
    <r>
      <rPr>
        <vertAlign val="subscript"/>
        <sz val="6"/>
        <color theme="1"/>
        <rFont val="Arial"/>
        <family val="2"/>
      </rPr>
      <t>I</t>
    </r>
    <r>
      <rPr>
        <sz val="6"/>
        <color theme="1"/>
        <rFont val="Arial"/>
        <family val="2"/>
      </rPr>
      <t xml:space="preserve"> * [ 1.25*(M</t>
    </r>
    <r>
      <rPr>
        <vertAlign val="subscript"/>
        <sz val="6"/>
        <color theme="1"/>
        <rFont val="Arial"/>
        <family val="2"/>
      </rPr>
      <t>SW</t>
    </r>
    <r>
      <rPr>
        <sz val="6"/>
        <color theme="1"/>
        <rFont val="Arial"/>
        <family val="2"/>
      </rPr>
      <t xml:space="preserve"> + M</t>
    </r>
    <r>
      <rPr>
        <vertAlign val="subscript"/>
        <sz val="6"/>
        <color theme="1"/>
        <rFont val="Arial"/>
        <family val="2"/>
      </rPr>
      <t>SUP_DC</t>
    </r>
    <r>
      <rPr>
        <sz val="6"/>
        <color theme="1"/>
        <rFont val="Arial"/>
        <family val="2"/>
      </rPr>
      <t>) + 1.5*M</t>
    </r>
    <r>
      <rPr>
        <vertAlign val="subscript"/>
        <sz val="6"/>
        <color theme="1"/>
        <rFont val="Arial"/>
        <family val="2"/>
      </rPr>
      <t>SUP_DW</t>
    </r>
    <r>
      <rPr>
        <sz val="6"/>
        <color theme="1"/>
        <rFont val="Arial"/>
        <family val="2"/>
      </rPr>
      <t xml:space="preserve"> + 1.35*M</t>
    </r>
    <r>
      <rPr>
        <vertAlign val="subscript"/>
        <sz val="6"/>
        <color theme="1"/>
        <rFont val="Arial"/>
        <family val="2"/>
      </rPr>
      <t>EV</t>
    </r>
    <r>
      <rPr>
        <sz val="6"/>
        <color theme="1"/>
        <rFont val="Arial"/>
        <family val="2"/>
      </rPr>
      <t xml:space="preserve"> + 1.75*M</t>
    </r>
    <r>
      <rPr>
        <vertAlign val="subscript"/>
        <sz val="6"/>
        <color theme="1"/>
        <rFont val="Arial"/>
        <family val="2"/>
      </rPr>
      <t>LL</t>
    </r>
    <r>
      <rPr>
        <sz val="6"/>
        <color theme="1"/>
        <rFont val="Arial"/>
        <family val="2"/>
      </rPr>
      <t xml:space="preserve"> - 0.90*M</t>
    </r>
    <r>
      <rPr>
        <vertAlign val="subscript"/>
        <sz val="6"/>
        <color theme="1"/>
        <rFont val="Arial"/>
        <family val="2"/>
      </rPr>
      <t>EH</t>
    </r>
    <r>
      <rPr>
        <sz val="6"/>
        <color theme="1"/>
        <rFont val="Arial"/>
        <family val="2"/>
      </rPr>
      <t xml:space="preserve"> - 1.75*M</t>
    </r>
    <r>
      <rPr>
        <vertAlign val="subscript"/>
        <sz val="6"/>
        <color theme="1"/>
        <rFont val="Arial"/>
        <family val="2"/>
      </rPr>
      <t>LS</t>
    </r>
    <r>
      <rPr>
        <sz val="6"/>
        <color theme="1"/>
        <rFont val="Arial"/>
        <family val="2"/>
      </rPr>
      <t xml:space="preserve"> + 1.20*M</t>
    </r>
    <r>
      <rPr>
        <vertAlign val="subscript"/>
        <sz val="6"/>
        <color theme="1"/>
        <rFont val="Arial"/>
        <family val="2"/>
      </rPr>
      <t>TU</t>
    </r>
    <r>
      <rPr>
        <sz val="6"/>
        <color theme="1"/>
        <rFont val="Arial"/>
        <family val="2"/>
      </rPr>
      <t xml:space="preserve"> + 1.75*M</t>
    </r>
    <r>
      <rPr>
        <vertAlign val="subscript"/>
        <sz val="6"/>
        <color theme="1"/>
        <rFont val="Arial"/>
        <family val="2"/>
      </rPr>
      <t>BR</t>
    </r>
    <r>
      <rPr>
        <sz val="6"/>
        <color theme="1"/>
        <rFont val="Arial"/>
        <family val="2"/>
      </rPr>
      <t xml:space="preserve"> ]</t>
    </r>
  </si>
  <si>
    <t>Condition 4</t>
  </si>
  <si>
    <r>
      <rPr>
        <sz val="6"/>
        <color theme="1"/>
        <rFont val="Symbol"/>
        <family val="1"/>
        <charset val="2"/>
      </rPr>
      <t>h</t>
    </r>
    <r>
      <rPr>
        <vertAlign val="subscript"/>
        <sz val="6"/>
        <color theme="1"/>
        <rFont val="Arial"/>
        <family val="2"/>
      </rPr>
      <t>I</t>
    </r>
    <r>
      <rPr>
        <sz val="6"/>
        <color theme="1"/>
        <rFont val="Arial"/>
        <family val="2"/>
      </rPr>
      <t xml:space="preserve"> * [ 1.25*(M</t>
    </r>
    <r>
      <rPr>
        <vertAlign val="subscript"/>
        <sz val="6"/>
        <color theme="1"/>
        <rFont val="Arial"/>
        <family val="2"/>
      </rPr>
      <t>SW</t>
    </r>
    <r>
      <rPr>
        <sz val="6"/>
        <color theme="1"/>
        <rFont val="Arial"/>
        <family val="2"/>
      </rPr>
      <t xml:space="preserve"> + M</t>
    </r>
    <r>
      <rPr>
        <vertAlign val="subscript"/>
        <sz val="6"/>
        <color theme="1"/>
        <rFont val="Arial"/>
        <family val="2"/>
      </rPr>
      <t>SUP_DC</t>
    </r>
    <r>
      <rPr>
        <sz val="6"/>
        <color theme="1"/>
        <rFont val="Arial"/>
        <family val="2"/>
      </rPr>
      <t>) + 1.5*M</t>
    </r>
    <r>
      <rPr>
        <vertAlign val="subscript"/>
        <sz val="6"/>
        <color theme="1"/>
        <rFont val="Arial"/>
        <family val="2"/>
      </rPr>
      <t>SUP_DW</t>
    </r>
    <r>
      <rPr>
        <sz val="6"/>
        <color theme="1"/>
        <rFont val="Arial"/>
        <family val="2"/>
      </rPr>
      <t xml:space="preserve"> + 1.35*M</t>
    </r>
    <r>
      <rPr>
        <vertAlign val="subscript"/>
        <sz val="6"/>
        <color theme="1"/>
        <rFont val="Arial"/>
        <family val="2"/>
      </rPr>
      <t>EV</t>
    </r>
    <r>
      <rPr>
        <sz val="6"/>
        <color theme="1"/>
        <rFont val="Arial"/>
        <family val="2"/>
      </rPr>
      <t xml:space="preserve"> + 1.75*M</t>
    </r>
    <r>
      <rPr>
        <vertAlign val="subscript"/>
        <sz val="6"/>
        <color theme="1"/>
        <rFont val="Arial"/>
        <family val="2"/>
      </rPr>
      <t>LL</t>
    </r>
    <r>
      <rPr>
        <sz val="6"/>
        <color theme="1"/>
        <rFont val="Arial"/>
        <family val="2"/>
      </rPr>
      <t xml:space="preserve"> - 0.90*M</t>
    </r>
    <r>
      <rPr>
        <vertAlign val="subscript"/>
        <sz val="6"/>
        <color theme="1"/>
        <rFont val="Arial"/>
        <family val="2"/>
      </rPr>
      <t>EH</t>
    </r>
    <r>
      <rPr>
        <sz val="6"/>
        <color theme="1"/>
        <rFont val="Arial"/>
        <family val="2"/>
      </rPr>
      <t xml:space="preserve"> - 1.75*M</t>
    </r>
    <r>
      <rPr>
        <vertAlign val="subscript"/>
        <sz val="6"/>
        <color theme="1"/>
        <rFont val="Arial"/>
        <family val="2"/>
      </rPr>
      <t>LS</t>
    </r>
    <r>
      <rPr>
        <sz val="6"/>
        <color theme="1"/>
        <rFont val="Arial"/>
        <family val="2"/>
      </rPr>
      <t xml:space="preserve"> - 1.20*M</t>
    </r>
    <r>
      <rPr>
        <vertAlign val="subscript"/>
        <sz val="6"/>
        <color theme="1"/>
        <rFont val="Arial"/>
        <family val="2"/>
      </rPr>
      <t>TU</t>
    </r>
    <r>
      <rPr>
        <sz val="6"/>
        <color theme="1"/>
        <rFont val="Arial"/>
        <family val="2"/>
      </rPr>
      <t xml:space="preserve"> - 1.75*M</t>
    </r>
    <r>
      <rPr>
        <vertAlign val="subscript"/>
        <sz val="6"/>
        <color theme="1"/>
        <rFont val="Arial"/>
        <family val="2"/>
      </rPr>
      <t>BR</t>
    </r>
    <r>
      <rPr>
        <sz val="6"/>
        <color theme="1"/>
        <rFont val="Arial"/>
        <family val="2"/>
      </rPr>
      <t xml:space="preserve"> ]</t>
    </r>
  </si>
  <si>
    <t>Condition 5</t>
  </si>
  <si>
    <t>Condition 6</t>
  </si>
  <si>
    <t>Front</t>
  </si>
  <si>
    <t>Back</t>
  </si>
  <si>
    <t>Condition 7</t>
  </si>
  <si>
    <r>
      <rPr>
        <sz val="6"/>
        <color theme="1"/>
        <rFont val="Symbol"/>
        <family val="1"/>
        <charset val="2"/>
      </rPr>
      <t>h</t>
    </r>
    <r>
      <rPr>
        <vertAlign val="subscript"/>
        <sz val="6"/>
        <color theme="1"/>
        <rFont val="Arial"/>
        <family val="2"/>
      </rPr>
      <t>I</t>
    </r>
    <r>
      <rPr>
        <sz val="6"/>
        <color theme="1"/>
        <rFont val="Arial"/>
        <family val="2"/>
      </rPr>
      <t xml:space="preserve"> * [ 0.90*(M</t>
    </r>
    <r>
      <rPr>
        <vertAlign val="subscript"/>
        <sz val="6"/>
        <color theme="1"/>
        <rFont val="Arial"/>
        <family val="2"/>
      </rPr>
      <t>SW</t>
    </r>
    <r>
      <rPr>
        <sz val="6"/>
        <color theme="1"/>
        <rFont val="Arial"/>
        <family val="2"/>
      </rPr>
      <t xml:space="preserve"> + M</t>
    </r>
    <r>
      <rPr>
        <vertAlign val="subscript"/>
        <sz val="6"/>
        <color theme="1"/>
        <rFont val="Arial"/>
        <family val="2"/>
      </rPr>
      <t>SUP_DC</t>
    </r>
    <r>
      <rPr>
        <sz val="6"/>
        <color theme="1"/>
        <rFont val="Arial"/>
        <family val="2"/>
      </rPr>
      <t>) + 0.65*M</t>
    </r>
    <r>
      <rPr>
        <vertAlign val="subscript"/>
        <sz val="6"/>
        <color theme="1"/>
        <rFont val="Arial"/>
        <family val="2"/>
      </rPr>
      <t>SUP_DW</t>
    </r>
    <r>
      <rPr>
        <sz val="6"/>
        <color theme="1"/>
        <rFont val="Arial"/>
        <family val="2"/>
      </rPr>
      <t xml:space="preserve"> + 1.00*M</t>
    </r>
    <r>
      <rPr>
        <vertAlign val="subscript"/>
        <sz val="6"/>
        <color theme="1"/>
        <rFont val="Arial"/>
        <family val="2"/>
      </rPr>
      <t>EV</t>
    </r>
    <r>
      <rPr>
        <sz val="6"/>
        <color theme="1"/>
        <rFont val="Arial"/>
        <family val="2"/>
      </rPr>
      <t xml:space="preserve"> + 1.75*M</t>
    </r>
    <r>
      <rPr>
        <vertAlign val="subscript"/>
        <sz val="6"/>
        <color theme="1"/>
        <rFont val="Arial"/>
        <family val="2"/>
      </rPr>
      <t>LL</t>
    </r>
    <r>
      <rPr>
        <sz val="6"/>
        <color theme="1"/>
        <rFont val="Arial"/>
        <family val="2"/>
      </rPr>
      <t xml:space="preserve"> - 1.35*M</t>
    </r>
    <r>
      <rPr>
        <vertAlign val="subscript"/>
        <sz val="6"/>
        <color theme="1"/>
        <rFont val="Arial"/>
        <family val="2"/>
      </rPr>
      <t>EH</t>
    </r>
    <r>
      <rPr>
        <sz val="6"/>
        <color theme="1"/>
        <rFont val="Arial"/>
        <family val="2"/>
      </rPr>
      <t xml:space="preserve"> - 1.20*M</t>
    </r>
    <r>
      <rPr>
        <vertAlign val="subscript"/>
        <sz val="6"/>
        <color theme="1"/>
        <rFont val="Arial"/>
        <family val="2"/>
      </rPr>
      <t>TU</t>
    </r>
    <r>
      <rPr>
        <sz val="6"/>
        <color theme="1"/>
        <rFont val="Arial"/>
        <family val="2"/>
      </rPr>
      <t xml:space="preserve"> - 1.75*M</t>
    </r>
    <r>
      <rPr>
        <vertAlign val="subscript"/>
        <sz val="6"/>
        <color theme="1"/>
        <rFont val="Arial"/>
        <family val="2"/>
      </rPr>
      <t>BR</t>
    </r>
    <r>
      <rPr>
        <sz val="6"/>
        <color theme="1"/>
        <rFont val="Arial"/>
        <family val="2"/>
      </rPr>
      <t xml:space="preserve"> ]</t>
    </r>
  </si>
  <si>
    <t>Condition 8</t>
  </si>
  <si>
    <r>
      <rPr>
        <sz val="6"/>
        <color theme="1"/>
        <rFont val="Symbol"/>
        <family val="1"/>
        <charset val="2"/>
      </rPr>
      <t>h</t>
    </r>
    <r>
      <rPr>
        <vertAlign val="subscript"/>
        <sz val="6"/>
        <color theme="1"/>
        <rFont val="Arial"/>
        <family val="2"/>
      </rPr>
      <t>I</t>
    </r>
    <r>
      <rPr>
        <sz val="6"/>
        <color theme="1"/>
        <rFont val="Arial"/>
        <family val="2"/>
      </rPr>
      <t xml:space="preserve"> * [ 0.90*(M</t>
    </r>
    <r>
      <rPr>
        <vertAlign val="subscript"/>
        <sz val="6"/>
        <color theme="1"/>
        <rFont val="Arial"/>
        <family val="2"/>
      </rPr>
      <t>SW</t>
    </r>
    <r>
      <rPr>
        <sz val="6"/>
        <color theme="1"/>
        <rFont val="Arial"/>
        <family val="2"/>
      </rPr>
      <t xml:space="preserve"> + M</t>
    </r>
    <r>
      <rPr>
        <vertAlign val="subscript"/>
        <sz val="6"/>
        <color theme="1"/>
        <rFont val="Arial"/>
        <family val="2"/>
      </rPr>
      <t>SUP_DC</t>
    </r>
    <r>
      <rPr>
        <sz val="6"/>
        <color theme="1"/>
        <rFont val="Arial"/>
        <family val="2"/>
      </rPr>
      <t>) + 0.65*M</t>
    </r>
    <r>
      <rPr>
        <vertAlign val="subscript"/>
        <sz val="6"/>
        <color theme="1"/>
        <rFont val="Arial"/>
        <family val="2"/>
      </rPr>
      <t>SUP_DW</t>
    </r>
    <r>
      <rPr>
        <sz val="6"/>
        <color theme="1"/>
        <rFont val="Arial"/>
        <family val="2"/>
      </rPr>
      <t xml:space="preserve"> + 1.00*M</t>
    </r>
    <r>
      <rPr>
        <vertAlign val="subscript"/>
        <sz val="6"/>
        <color theme="1"/>
        <rFont val="Arial"/>
        <family val="2"/>
      </rPr>
      <t>EV</t>
    </r>
    <r>
      <rPr>
        <sz val="6"/>
        <color theme="1"/>
        <rFont val="Arial"/>
        <family val="2"/>
      </rPr>
      <t xml:space="preserve"> + 1.75*M</t>
    </r>
    <r>
      <rPr>
        <vertAlign val="subscript"/>
        <sz val="6"/>
        <color theme="1"/>
        <rFont val="Arial"/>
        <family val="2"/>
      </rPr>
      <t>LL</t>
    </r>
    <r>
      <rPr>
        <sz val="6"/>
        <color theme="1"/>
        <rFont val="Arial"/>
        <family val="2"/>
      </rPr>
      <t xml:space="preserve"> - 1.35*M</t>
    </r>
    <r>
      <rPr>
        <vertAlign val="subscript"/>
        <sz val="6"/>
        <color theme="1"/>
        <rFont val="Arial"/>
        <family val="2"/>
      </rPr>
      <t>EH</t>
    </r>
    <r>
      <rPr>
        <sz val="6"/>
        <color theme="1"/>
        <rFont val="Arial"/>
        <family val="2"/>
      </rPr>
      <t xml:space="preserve"> + 1.20*M</t>
    </r>
    <r>
      <rPr>
        <vertAlign val="subscript"/>
        <sz val="6"/>
        <color theme="1"/>
        <rFont val="Arial"/>
        <family val="2"/>
      </rPr>
      <t>TU</t>
    </r>
    <r>
      <rPr>
        <sz val="6"/>
        <color theme="1"/>
        <rFont val="Arial"/>
        <family val="2"/>
      </rPr>
      <t xml:space="preserve"> + 1.75*M</t>
    </r>
    <r>
      <rPr>
        <vertAlign val="subscript"/>
        <sz val="6"/>
        <color theme="1"/>
        <rFont val="Arial"/>
        <family val="2"/>
      </rPr>
      <t>BR</t>
    </r>
    <r>
      <rPr>
        <sz val="6"/>
        <color theme="1"/>
        <rFont val="Arial"/>
        <family val="2"/>
      </rPr>
      <t xml:space="preserve"> ]</t>
    </r>
  </si>
  <si>
    <t>Condition 9</t>
  </si>
  <si>
    <r>
      <rPr>
        <sz val="6"/>
        <color theme="1"/>
        <rFont val="Symbol"/>
        <family val="1"/>
        <charset val="2"/>
      </rPr>
      <t>h</t>
    </r>
    <r>
      <rPr>
        <vertAlign val="subscript"/>
        <sz val="6"/>
        <color theme="1"/>
        <rFont val="Arial"/>
        <family val="2"/>
      </rPr>
      <t>I</t>
    </r>
    <r>
      <rPr>
        <sz val="6"/>
        <color theme="1"/>
        <rFont val="Arial"/>
        <family val="2"/>
      </rPr>
      <t xml:space="preserve"> * [ 1.25*(M</t>
    </r>
    <r>
      <rPr>
        <vertAlign val="subscript"/>
        <sz val="6"/>
        <color theme="1"/>
        <rFont val="Arial"/>
        <family val="2"/>
      </rPr>
      <t>SW</t>
    </r>
    <r>
      <rPr>
        <sz val="6"/>
        <color theme="1"/>
        <rFont val="Arial"/>
        <family val="2"/>
      </rPr>
      <t xml:space="preserve"> + M</t>
    </r>
    <r>
      <rPr>
        <vertAlign val="subscript"/>
        <sz val="6"/>
        <color theme="1"/>
        <rFont val="Arial"/>
        <family val="2"/>
      </rPr>
      <t>SUP_DC</t>
    </r>
    <r>
      <rPr>
        <sz val="6"/>
        <color theme="1"/>
        <rFont val="Arial"/>
        <family val="2"/>
      </rPr>
      <t>) + 1.5*M</t>
    </r>
    <r>
      <rPr>
        <vertAlign val="subscript"/>
        <sz val="6"/>
        <color theme="1"/>
        <rFont val="Arial"/>
        <family val="2"/>
      </rPr>
      <t>SUP_DW</t>
    </r>
    <r>
      <rPr>
        <sz val="6"/>
        <color theme="1"/>
        <rFont val="Arial"/>
        <family val="2"/>
      </rPr>
      <t xml:space="preserve"> + 1.35*M</t>
    </r>
    <r>
      <rPr>
        <vertAlign val="subscript"/>
        <sz val="6"/>
        <color theme="1"/>
        <rFont val="Arial"/>
        <family val="2"/>
      </rPr>
      <t>EV</t>
    </r>
    <r>
      <rPr>
        <sz val="6"/>
        <color theme="1"/>
        <rFont val="Arial"/>
        <family val="2"/>
      </rPr>
      <t xml:space="preserve"> + 1.75*M</t>
    </r>
    <r>
      <rPr>
        <vertAlign val="subscript"/>
        <sz val="6"/>
        <color theme="1"/>
        <rFont val="Arial"/>
        <family val="2"/>
      </rPr>
      <t>LL</t>
    </r>
    <r>
      <rPr>
        <sz val="6"/>
        <color theme="1"/>
        <rFont val="Arial"/>
        <family val="2"/>
      </rPr>
      <t xml:space="preserve"> - 1.35*M</t>
    </r>
    <r>
      <rPr>
        <vertAlign val="subscript"/>
        <sz val="6"/>
        <color theme="1"/>
        <rFont val="Arial"/>
        <family val="2"/>
      </rPr>
      <t>EH</t>
    </r>
    <r>
      <rPr>
        <sz val="6"/>
        <color theme="1"/>
        <rFont val="Arial"/>
        <family val="2"/>
      </rPr>
      <t xml:space="preserve"> - 1.20*M</t>
    </r>
    <r>
      <rPr>
        <vertAlign val="subscript"/>
        <sz val="6"/>
        <color theme="1"/>
        <rFont val="Arial"/>
        <family val="2"/>
      </rPr>
      <t>TU</t>
    </r>
    <r>
      <rPr>
        <sz val="6"/>
        <color theme="1"/>
        <rFont val="Arial"/>
        <family val="2"/>
      </rPr>
      <t xml:space="preserve"> - 1.75*M</t>
    </r>
    <r>
      <rPr>
        <vertAlign val="subscript"/>
        <sz val="6"/>
        <color theme="1"/>
        <rFont val="Arial"/>
        <family val="2"/>
      </rPr>
      <t>BR</t>
    </r>
    <r>
      <rPr>
        <sz val="6"/>
        <color theme="1"/>
        <rFont val="Arial"/>
        <family val="2"/>
      </rPr>
      <t xml:space="preserve"> ]</t>
    </r>
  </si>
  <si>
    <t>Condition 10</t>
  </si>
  <si>
    <r>
      <rPr>
        <sz val="6"/>
        <color theme="1"/>
        <rFont val="Symbol"/>
        <family val="1"/>
        <charset val="2"/>
      </rPr>
      <t>h</t>
    </r>
    <r>
      <rPr>
        <vertAlign val="subscript"/>
        <sz val="6"/>
        <color theme="1"/>
        <rFont val="Arial"/>
        <family val="2"/>
      </rPr>
      <t>I</t>
    </r>
    <r>
      <rPr>
        <sz val="6"/>
        <color theme="1"/>
        <rFont val="Arial"/>
        <family val="2"/>
      </rPr>
      <t xml:space="preserve"> * [ 1.25*(M</t>
    </r>
    <r>
      <rPr>
        <vertAlign val="subscript"/>
        <sz val="6"/>
        <color theme="1"/>
        <rFont val="Arial"/>
        <family val="2"/>
      </rPr>
      <t>SW</t>
    </r>
    <r>
      <rPr>
        <sz val="6"/>
        <color theme="1"/>
        <rFont val="Arial"/>
        <family val="2"/>
      </rPr>
      <t xml:space="preserve"> + M</t>
    </r>
    <r>
      <rPr>
        <vertAlign val="subscript"/>
        <sz val="6"/>
        <color theme="1"/>
        <rFont val="Arial"/>
        <family val="2"/>
      </rPr>
      <t>SUP_DC</t>
    </r>
    <r>
      <rPr>
        <sz val="6"/>
        <color theme="1"/>
        <rFont val="Arial"/>
        <family val="2"/>
      </rPr>
      <t>) + 1.5*M</t>
    </r>
    <r>
      <rPr>
        <vertAlign val="subscript"/>
        <sz val="6"/>
        <color theme="1"/>
        <rFont val="Arial"/>
        <family val="2"/>
      </rPr>
      <t>SUP_DW</t>
    </r>
    <r>
      <rPr>
        <sz val="6"/>
        <color theme="1"/>
        <rFont val="Arial"/>
        <family val="2"/>
      </rPr>
      <t xml:space="preserve"> + 1.35*M</t>
    </r>
    <r>
      <rPr>
        <vertAlign val="subscript"/>
        <sz val="6"/>
        <color theme="1"/>
        <rFont val="Arial"/>
        <family val="2"/>
      </rPr>
      <t>EV</t>
    </r>
    <r>
      <rPr>
        <sz val="6"/>
        <color theme="1"/>
        <rFont val="Arial"/>
        <family val="2"/>
      </rPr>
      <t xml:space="preserve"> + 1.75*M</t>
    </r>
    <r>
      <rPr>
        <vertAlign val="subscript"/>
        <sz val="6"/>
        <color theme="1"/>
        <rFont val="Arial"/>
        <family val="2"/>
      </rPr>
      <t>LL</t>
    </r>
    <r>
      <rPr>
        <sz val="6"/>
        <color theme="1"/>
        <rFont val="Arial"/>
        <family val="2"/>
      </rPr>
      <t xml:space="preserve"> - 1.35*M</t>
    </r>
    <r>
      <rPr>
        <vertAlign val="subscript"/>
        <sz val="6"/>
        <color theme="1"/>
        <rFont val="Arial"/>
        <family val="2"/>
      </rPr>
      <t>EH</t>
    </r>
    <r>
      <rPr>
        <sz val="6"/>
        <color theme="1"/>
        <rFont val="Arial"/>
        <family val="2"/>
      </rPr>
      <t xml:space="preserve"> + 1.20*M</t>
    </r>
    <r>
      <rPr>
        <vertAlign val="subscript"/>
        <sz val="6"/>
        <color theme="1"/>
        <rFont val="Arial"/>
        <family val="2"/>
      </rPr>
      <t>TU</t>
    </r>
    <r>
      <rPr>
        <sz val="6"/>
        <color theme="1"/>
        <rFont val="Arial"/>
        <family val="2"/>
      </rPr>
      <t xml:space="preserve"> + 1.75*M</t>
    </r>
    <r>
      <rPr>
        <vertAlign val="subscript"/>
        <sz val="6"/>
        <color theme="1"/>
        <rFont val="Arial"/>
        <family val="2"/>
      </rPr>
      <t>BR</t>
    </r>
    <r>
      <rPr>
        <sz val="6"/>
        <color theme="1"/>
        <rFont val="Arial"/>
        <family val="2"/>
      </rPr>
      <t xml:space="preserve"> ]</t>
    </r>
  </si>
  <si>
    <t>Condition 11</t>
  </si>
  <si>
    <r>
      <rPr>
        <sz val="6"/>
        <color theme="1"/>
        <rFont val="Symbol"/>
        <family val="1"/>
        <charset val="2"/>
      </rPr>
      <t>h</t>
    </r>
    <r>
      <rPr>
        <vertAlign val="subscript"/>
        <sz val="6"/>
        <color theme="1"/>
        <rFont val="Arial"/>
        <family val="2"/>
      </rPr>
      <t>I</t>
    </r>
    <r>
      <rPr>
        <sz val="6"/>
        <color theme="1"/>
        <rFont val="Arial"/>
        <family val="2"/>
      </rPr>
      <t xml:space="preserve"> * [ 1.25*(M</t>
    </r>
    <r>
      <rPr>
        <vertAlign val="subscript"/>
        <sz val="6"/>
        <color theme="1"/>
        <rFont val="Arial"/>
        <family val="2"/>
      </rPr>
      <t>SW</t>
    </r>
    <r>
      <rPr>
        <sz val="6"/>
        <color theme="1"/>
        <rFont val="Arial"/>
        <family val="2"/>
      </rPr>
      <t xml:space="preserve"> + M</t>
    </r>
    <r>
      <rPr>
        <vertAlign val="subscript"/>
        <sz val="6"/>
        <color theme="1"/>
        <rFont val="Arial"/>
        <family val="2"/>
      </rPr>
      <t>SUP_DC</t>
    </r>
    <r>
      <rPr>
        <sz val="6"/>
        <color theme="1"/>
        <rFont val="Arial"/>
        <family val="2"/>
      </rPr>
      <t>) + 1.5*M</t>
    </r>
    <r>
      <rPr>
        <vertAlign val="subscript"/>
        <sz val="6"/>
        <color theme="1"/>
        <rFont val="Arial"/>
        <family val="2"/>
      </rPr>
      <t>SUP_DW</t>
    </r>
    <r>
      <rPr>
        <sz val="6"/>
        <color theme="1"/>
        <rFont val="Arial"/>
        <family val="2"/>
      </rPr>
      <t xml:space="preserve"> + 1.35*M</t>
    </r>
    <r>
      <rPr>
        <vertAlign val="subscript"/>
        <sz val="6"/>
        <color theme="1"/>
        <rFont val="Arial"/>
        <family val="2"/>
      </rPr>
      <t>EV</t>
    </r>
    <r>
      <rPr>
        <sz val="6"/>
        <color theme="1"/>
        <rFont val="Arial"/>
        <family val="2"/>
      </rPr>
      <t xml:space="preserve"> + 1.75*M</t>
    </r>
    <r>
      <rPr>
        <vertAlign val="subscript"/>
        <sz val="6"/>
        <color theme="1"/>
        <rFont val="Arial"/>
        <family val="2"/>
      </rPr>
      <t>LL</t>
    </r>
    <r>
      <rPr>
        <sz val="6"/>
        <color theme="1"/>
        <rFont val="Arial"/>
        <family val="2"/>
      </rPr>
      <t xml:space="preserve"> - 1.35*M</t>
    </r>
    <r>
      <rPr>
        <vertAlign val="subscript"/>
        <sz val="6"/>
        <color theme="1"/>
        <rFont val="Arial"/>
        <family val="2"/>
      </rPr>
      <t>EH</t>
    </r>
    <r>
      <rPr>
        <sz val="6"/>
        <color theme="1"/>
        <rFont val="Arial"/>
        <family val="2"/>
      </rPr>
      <t xml:space="preserve"> - 1.75*M</t>
    </r>
    <r>
      <rPr>
        <vertAlign val="subscript"/>
        <sz val="6"/>
        <color theme="1"/>
        <rFont val="Arial"/>
        <family val="2"/>
      </rPr>
      <t>LS</t>
    </r>
    <r>
      <rPr>
        <sz val="6"/>
        <color theme="1"/>
        <rFont val="Arial"/>
        <family val="2"/>
      </rPr>
      <t xml:space="preserve"> + 1.20*M</t>
    </r>
    <r>
      <rPr>
        <vertAlign val="subscript"/>
        <sz val="6"/>
        <color theme="1"/>
        <rFont val="Arial"/>
        <family val="2"/>
      </rPr>
      <t>TU</t>
    </r>
    <r>
      <rPr>
        <sz val="6"/>
        <color theme="1"/>
        <rFont val="Arial"/>
        <family val="2"/>
      </rPr>
      <t xml:space="preserve"> + 1.75*M</t>
    </r>
    <r>
      <rPr>
        <vertAlign val="subscript"/>
        <sz val="6"/>
        <color theme="1"/>
        <rFont val="Arial"/>
        <family val="2"/>
      </rPr>
      <t>BR</t>
    </r>
    <r>
      <rPr>
        <sz val="6"/>
        <color theme="1"/>
        <rFont val="Arial"/>
        <family val="2"/>
      </rPr>
      <t xml:space="preserve"> ]</t>
    </r>
  </si>
  <si>
    <t>Condition 12</t>
  </si>
  <si>
    <r>
      <rPr>
        <sz val="6"/>
        <color theme="1"/>
        <rFont val="Symbol"/>
        <family val="1"/>
        <charset val="2"/>
      </rPr>
      <t>h</t>
    </r>
    <r>
      <rPr>
        <vertAlign val="subscript"/>
        <sz val="6"/>
        <color theme="1"/>
        <rFont val="Arial"/>
        <family val="2"/>
      </rPr>
      <t>I</t>
    </r>
    <r>
      <rPr>
        <sz val="6"/>
        <color theme="1"/>
        <rFont val="Arial"/>
        <family val="2"/>
      </rPr>
      <t xml:space="preserve"> * [ 1.25*(M</t>
    </r>
    <r>
      <rPr>
        <vertAlign val="subscript"/>
        <sz val="6"/>
        <color theme="1"/>
        <rFont val="Arial"/>
        <family val="2"/>
      </rPr>
      <t>SW</t>
    </r>
    <r>
      <rPr>
        <sz val="6"/>
        <color theme="1"/>
        <rFont val="Arial"/>
        <family val="2"/>
      </rPr>
      <t xml:space="preserve"> + M</t>
    </r>
    <r>
      <rPr>
        <vertAlign val="subscript"/>
        <sz val="6"/>
        <color theme="1"/>
        <rFont val="Arial"/>
        <family val="2"/>
      </rPr>
      <t>SUP_DC</t>
    </r>
    <r>
      <rPr>
        <sz val="6"/>
        <color theme="1"/>
        <rFont val="Arial"/>
        <family val="2"/>
      </rPr>
      <t>) + 1.5*M</t>
    </r>
    <r>
      <rPr>
        <vertAlign val="subscript"/>
        <sz val="6"/>
        <color theme="1"/>
        <rFont val="Arial"/>
        <family val="2"/>
      </rPr>
      <t>SUP_DW</t>
    </r>
    <r>
      <rPr>
        <sz val="6"/>
        <color theme="1"/>
        <rFont val="Arial"/>
        <family val="2"/>
      </rPr>
      <t xml:space="preserve"> + 1.35*M</t>
    </r>
    <r>
      <rPr>
        <vertAlign val="subscript"/>
        <sz val="6"/>
        <color theme="1"/>
        <rFont val="Arial"/>
        <family val="2"/>
      </rPr>
      <t>EV</t>
    </r>
    <r>
      <rPr>
        <sz val="6"/>
        <color theme="1"/>
        <rFont val="Arial"/>
        <family val="2"/>
      </rPr>
      <t xml:space="preserve"> + 1.75*M</t>
    </r>
    <r>
      <rPr>
        <vertAlign val="subscript"/>
        <sz val="6"/>
        <color theme="1"/>
        <rFont val="Arial"/>
        <family val="2"/>
      </rPr>
      <t>LL</t>
    </r>
    <r>
      <rPr>
        <sz val="6"/>
        <color theme="1"/>
        <rFont val="Arial"/>
        <family val="2"/>
      </rPr>
      <t xml:space="preserve"> - 1.35*M</t>
    </r>
    <r>
      <rPr>
        <vertAlign val="subscript"/>
        <sz val="6"/>
        <color theme="1"/>
        <rFont val="Arial"/>
        <family val="2"/>
      </rPr>
      <t>EH</t>
    </r>
    <r>
      <rPr>
        <sz val="6"/>
        <color theme="1"/>
        <rFont val="Arial"/>
        <family val="2"/>
      </rPr>
      <t xml:space="preserve"> - 1.75*M</t>
    </r>
    <r>
      <rPr>
        <vertAlign val="subscript"/>
        <sz val="6"/>
        <color theme="1"/>
        <rFont val="Arial"/>
        <family val="2"/>
      </rPr>
      <t>LS</t>
    </r>
    <r>
      <rPr>
        <sz val="6"/>
        <color theme="1"/>
        <rFont val="Arial"/>
        <family val="2"/>
      </rPr>
      <t xml:space="preserve"> - 1.20*M</t>
    </r>
    <r>
      <rPr>
        <vertAlign val="subscript"/>
        <sz val="6"/>
        <color theme="1"/>
        <rFont val="Arial"/>
        <family val="2"/>
      </rPr>
      <t>TU</t>
    </r>
    <r>
      <rPr>
        <sz val="6"/>
        <color theme="1"/>
        <rFont val="Arial"/>
        <family val="2"/>
      </rPr>
      <t xml:space="preserve"> - 1.75*M</t>
    </r>
    <r>
      <rPr>
        <vertAlign val="subscript"/>
        <sz val="6"/>
        <color theme="1"/>
        <rFont val="Arial"/>
        <family val="2"/>
      </rPr>
      <t>BR</t>
    </r>
    <r>
      <rPr>
        <sz val="6"/>
        <color theme="1"/>
        <rFont val="Arial"/>
        <family val="2"/>
      </rPr>
      <t xml:space="preserve"> ]</t>
    </r>
  </si>
  <si>
    <t>Condition 13</t>
  </si>
  <si>
    <t>Condition 14</t>
  </si>
  <si>
    <t>FORWARD ABUTMENT - FACTORED PILE LOADS</t>
  </si>
  <si>
    <t>SUMMARY OF CRITICAL DEMANDS AND CONDITIONS</t>
  </si>
  <si>
    <t>Abutment</t>
  </si>
  <si>
    <t>Row</t>
  </si>
  <si>
    <t>Value</t>
  </si>
  <si>
    <t>Condition</t>
  </si>
  <si>
    <t>Description</t>
  </si>
  <si>
    <t>Rear</t>
  </si>
  <si>
    <t>Forward</t>
  </si>
  <si>
    <t>Superstructure</t>
  </si>
  <si>
    <t>Substructure</t>
  </si>
  <si>
    <t>No.</t>
  </si>
  <si>
    <t>Length</t>
  </si>
  <si>
    <t>Area</t>
  </si>
  <si>
    <t>(ft.)</t>
  </si>
  <si>
    <t>(sq. ft.)</t>
  </si>
  <si>
    <t>(sq. yd.)</t>
  </si>
  <si>
    <t>Deck</t>
  </si>
  <si>
    <t>Parapet</t>
  </si>
  <si>
    <t>Volume</t>
  </si>
  <si>
    <t>Concrete</t>
  </si>
  <si>
    <t>Diaphragm</t>
  </si>
  <si>
    <t>Slab</t>
  </si>
  <si>
    <t>(cu. yd.)</t>
  </si>
  <si>
    <t>Haunch &amp;</t>
  </si>
  <si>
    <t>Slab Area</t>
  </si>
  <si>
    <t>T (ft.)</t>
  </si>
  <si>
    <t>*W (ft.)</t>
  </si>
  <si>
    <t>Overhang Area</t>
  </si>
  <si>
    <t>Alt. 1</t>
  </si>
  <si>
    <t>Alt. 2</t>
  </si>
  <si>
    <t xml:space="preserve">Individual </t>
  </si>
  <si>
    <t>Parapets</t>
  </si>
  <si>
    <t>Area (sq. ft.)</t>
  </si>
  <si>
    <t>Note:</t>
  </si>
  <si>
    <t>Allow 15% of deck area for haunches and overhangs (for steel beams)</t>
  </si>
  <si>
    <t>Allow 20% of deck area for haunches and overhangs (for concrete girders)</t>
  </si>
  <si>
    <t xml:space="preserve">Assume </t>
  </si>
  <si>
    <t>lbs of reinforcing steel per cubic yard of deck concrete</t>
  </si>
  <si>
    <t>lbs of reinforcing steel per cubic yard of  diaphragm concrete</t>
  </si>
  <si>
    <t>lbs of reinforcing steel per cubic yard of parapet concrete</t>
  </si>
  <si>
    <t>Rear Abut.</t>
  </si>
  <si>
    <t>Fwd. Abut.</t>
  </si>
  <si>
    <t>Fwd.</t>
  </si>
  <si>
    <t>Width*</t>
  </si>
  <si>
    <t>Surface</t>
  </si>
  <si>
    <t>Area (sq. yd.)</t>
  </si>
  <si>
    <t>For parapet and diaphragm sealing, assume every cubic yard of concrete will require</t>
  </si>
  <si>
    <t>4 square yards of concrete sealing.</t>
  </si>
  <si>
    <t>Nominal</t>
  </si>
  <si>
    <t>Span</t>
  </si>
  <si>
    <t>Exposed Girder</t>
  </si>
  <si>
    <t>Stringers</t>
  </si>
  <si>
    <t>Length (ft.)</t>
  </si>
  <si>
    <t>Total Beam</t>
  </si>
  <si>
    <t xml:space="preserve">Total </t>
  </si>
  <si>
    <t>Exposed Perimeter</t>
  </si>
  <si>
    <t>Horizontal (in.)</t>
  </si>
  <si>
    <t>Vertical (in.)</t>
  </si>
  <si>
    <t>Diagonal (in.)</t>
  </si>
  <si>
    <t>Bot. Flange</t>
  </si>
  <si>
    <t>Lower Fillets</t>
  </si>
  <si>
    <t>Web</t>
  </si>
  <si>
    <t>Upper Fillets</t>
  </si>
  <si>
    <t>Top Flange</t>
  </si>
  <si>
    <t>Pile</t>
  </si>
  <si>
    <t>For abutment and pier sealing, assume every cubic yard of concrete will require</t>
  </si>
  <si>
    <t>lbs of reinforcing steel per cubic yard of abutment concrete</t>
  </si>
  <si>
    <t>Driven</t>
  </si>
  <si>
    <t>Furnished</t>
  </si>
  <si>
    <t>Total Pile</t>
  </si>
  <si>
    <t xml:space="preserve"># of </t>
  </si>
  <si>
    <t>Piles</t>
  </si>
  <si>
    <t>No. Piles</t>
  </si>
  <si>
    <t>B/Ftg. Elev.</t>
  </si>
  <si>
    <t>Length (ft)</t>
  </si>
  <si>
    <t>&lt;--- Adds 5' per pile to driven length</t>
  </si>
  <si>
    <t>BRIDGE FRA-070-1373L (I-70 WB OVER SHORT STREET)</t>
  </si>
  <si>
    <t>ITEM</t>
  </si>
  <si>
    <t>EXTENSION</t>
  </si>
  <si>
    <t>ITEM DESCRIPTION</t>
  </si>
  <si>
    <t>TOTAL QUANTITY</t>
  </si>
  <si>
    <t>UNIT</t>
  </si>
  <si>
    <t>2013 UNIT PRICE</t>
  </si>
  <si>
    <t>TOTAL 2013 CONSTRUCTION COST</t>
  </si>
  <si>
    <t>202</t>
  </si>
  <si>
    <t>LUMP</t>
  </si>
  <si>
    <t>203</t>
  </si>
  <si>
    <t>10000</t>
  </si>
  <si>
    <t>EXCAVATION</t>
  </si>
  <si>
    <t>CY</t>
  </si>
  <si>
    <t>505</t>
  </si>
  <si>
    <t>11100</t>
  </si>
  <si>
    <t>PILE DRIVING EQUIPMENT MOBILIZATION</t>
  </si>
  <si>
    <t>507</t>
  </si>
  <si>
    <t>93300</t>
  </si>
  <si>
    <t>STEEL POINTS OR SHOES</t>
  </si>
  <si>
    <t>EACH</t>
  </si>
  <si>
    <t>00250</t>
  </si>
  <si>
    <t>STEEL PILES HP12X53, DRIVEN</t>
  </si>
  <si>
    <t>FT</t>
  </si>
  <si>
    <t>00200</t>
  </si>
  <si>
    <t>STEEL PILES HP12X53, FURNISHED</t>
  </si>
  <si>
    <t>509</t>
  </si>
  <si>
    <t>EPOXY COATED REINFORCING STEEL</t>
  </si>
  <si>
    <t>LB</t>
  </si>
  <si>
    <t>516</t>
  </si>
  <si>
    <t>43100</t>
  </si>
  <si>
    <t>ELASTOMERIC BEARINGS WITH INTERNAL LAMINATES ONLY (NEOPRENE)</t>
  </si>
  <si>
    <t>518</t>
  </si>
  <si>
    <t>21200</t>
  </si>
  <si>
    <t>POROUS BACKFILL WITH FILTER FABRIC</t>
  </si>
  <si>
    <t>511</t>
  </si>
  <si>
    <t>21534</t>
  </si>
  <si>
    <t>CLASS QC2 CONCRETE WITH QC/QA, SUPERSTRUCTURE</t>
  </si>
  <si>
    <t>34446</t>
  </si>
  <si>
    <t>CLASS QC2 CONCRETE WITH QC/QA, BRIDGE DECK</t>
  </si>
  <si>
    <t>34436</t>
  </si>
  <si>
    <t>CLASS QC2 CONCRETE WITH QC/QA, BRIDGE DECK (PARAPET)</t>
  </si>
  <si>
    <t>43512</t>
  </si>
  <si>
    <t>CLASS QC1 CONCRETE WITH QC/QA, ABUTMENT INCLUDING FOOTING</t>
  </si>
  <si>
    <t>512</t>
  </si>
  <si>
    <t>10100</t>
  </si>
  <si>
    <t>SEALING OF CONCRETE SURFACES (EPOXY-URETHANE)</t>
  </si>
  <si>
    <t>SY</t>
  </si>
  <si>
    <t>515</t>
  </si>
  <si>
    <t>15040</t>
  </si>
  <si>
    <t>DRAPED STRAND PRESTRESSED CONCRETE BRIDGE I-BEAM MEMBERS, LEVEL 3, TYPE 4 MOD. (66")</t>
  </si>
  <si>
    <t>20000</t>
  </si>
  <si>
    <t>INTERMEDIATE DIAPHRAGMS</t>
  </si>
  <si>
    <t>840</t>
  </si>
  <si>
    <t>MECHANICALLY STABILIZED EARTH WALL</t>
  </si>
  <si>
    <t>SQ F</t>
  </si>
  <si>
    <t>526</t>
  </si>
  <si>
    <t>SUBTOTAL:</t>
  </si>
  <si>
    <t>INCIDENTAL %:</t>
  </si>
  <si>
    <t>CONTINGENCY %:</t>
  </si>
  <si>
    <t>TOTAL COST =</t>
  </si>
  <si>
    <t xml:space="preserve">TOTAL COST  </t>
  </si>
  <si>
    <t>1. Utilized 2013 ODOT Summary of Contracts Awarded where possible.</t>
  </si>
  <si>
    <t xml:space="preserve">Assumed Annual Inflation (%)  </t>
  </si>
  <si>
    <t xml:space="preserve">Unit Price Basis Year  </t>
  </si>
  <si>
    <t xml:space="preserve">Assumed Construction Year  </t>
  </si>
  <si>
    <t>EXT</t>
  </si>
  <si>
    <t>Driven Pile</t>
  </si>
  <si>
    <t>nearest 5'</t>
  </si>
  <si>
    <t>507E00250</t>
  </si>
  <si>
    <t>507E93300</t>
  </si>
  <si>
    <t>507E00200</t>
  </si>
  <si>
    <t>Item/Ext</t>
  </si>
  <si>
    <t>Diaphragm Width =</t>
  </si>
  <si>
    <t>Alt. 1:</t>
  </si>
  <si>
    <t>Diaphragm Length =</t>
  </si>
  <si>
    <t>Volume, incl. embedded girder deduction</t>
  </si>
  <si>
    <t>Rear Abutment Diaphragm</t>
  </si>
  <si>
    <t>Forward Abutment Diaphragm</t>
  </si>
  <si>
    <t>Alt. 2:</t>
  </si>
  <si>
    <t>Average Rdwy Elev. =</t>
  </si>
  <si>
    <t>Ave Rdwy EL - Deck &amp; Haunch</t>
  </si>
  <si>
    <t>Ave. Seat Elev. =</t>
  </si>
  <si>
    <t>Ave. T/Diaphrgm Elev. - Seat Elev.</t>
  </si>
  <si>
    <t>511E34446</t>
  </si>
  <si>
    <t xml:space="preserve">No. </t>
  </si>
  <si>
    <t>Length,</t>
  </si>
  <si>
    <t xml:space="preserve">Approach </t>
  </si>
  <si>
    <t>Rear (ft.)</t>
  </si>
  <si>
    <t>Fwd (ft.)</t>
  </si>
  <si>
    <t>Volume (cy)</t>
  </si>
  <si>
    <t>511E34436</t>
  </si>
  <si>
    <t>511E21534</t>
  </si>
  <si>
    <t>Area =</t>
  </si>
  <si>
    <t>See sketch</t>
  </si>
  <si>
    <t>511E43512</t>
  </si>
  <si>
    <t>Wingwall Stem</t>
  </si>
  <si>
    <t>Total @ Rear:</t>
  </si>
  <si>
    <t>Total @ Fwd:</t>
  </si>
  <si>
    <t>Area (4 x Vol) (sq. yd.)</t>
  </si>
  <si>
    <t>Parapet &amp; Diaphragm Sealing Quantity</t>
  </si>
  <si>
    <t>Prestressed Concrete Beams Sealing Quantity: (Exterior Face, Exterior Beams only)</t>
  </si>
  <si>
    <t>Parapet &amp; Dia.</t>
  </si>
  <si>
    <t xml:space="preserve">1 square yards of concrete sealing </t>
  </si>
  <si>
    <t>Total Sealing</t>
  </si>
  <si>
    <t>Superstructure + Substructure</t>
  </si>
  <si>
    <t>Total (sq. yd.)</t>
  </si>
  <si>
    <t>512E10100</t>
  </si>
  <si>
    <t>515E15040</t>
  </si>
  <si>
    <t xml:space="preserve">No. Dia </t>
  </si>
  <si>
    <t>Lines per Span</t>
  </si>
  <si>
    <t>Per Line</t>
  </si>
  <si>
    <t>No. Dia</t>
  </si>
  <si>
    <t>515E20000</t>
  </si>
  <si>
    <t>Required Approach Slab Lengths per ODOT BDM 209.5</t>
  </si>
  <si>
    <t>Use:</t>
  </si>
  <si>
    <t xml:space="preserve"> Footing Heel Width</t>
  </si>
  <si>
    <t>Btm of ftg to btm of approach slab</t>
  </si>
  <si>
    <t>skew=</t>
  </si>
  <si>
    <t>H =</t>
  </si>
  <si>
    <t>h =</t>
  </si>
  <si>
    <t>rad</t>
  </si>
  <si>
    <t>Min. Approach Slab Length (BDM 209.5)=</t>
  </si>
  <si>
    <t>Fwd. Abutment</t>
  </si>
  <si>
    <t>Deck Concrete (cy.)</t>
  </si>
  <si>
    <t>Deck Rebar (lbs.)</t>
  </si>
  <si>
    <t>Diaphragm Concrete (cy.)</t>
  </si>
  <si>
    <t>Diaphragm Rebar (lbs.)</t>
  </si>
  <si>
    <t>Parapet Concrete (cy.)</t>
  </si>
  <si>
    <t>Parapet Rebar (lbs.)</t>
  </si>
  <si>
    <t>Total Superstructure Rebar (lbs)</t>
  </si>
  <si>
    <t>lbs of reinforcing steel per cubic yard of pier concrete (N/A for this bridge)</t>
  </si>
  <si>
    <t>Abutment Concrete (cy.)</t>
  </si>
  <si>
    <t>Abutment Rebar (lbs.)</t>
  </si>
  <si>
    <t>*See calcs in following pages for listed item/ext.</t>
  </si>
  <si>
    <t>*Item/Ext</t>
  </si>
  <si>
    <t>Total Substructure Rebar (lbs)</t>
  </si>
  <si>
    <t>Total Superstructure + Substructure</t>
  </si>
  <si>
    <t>Total Rebar (lbs)</t>
  </si>
  <si>
    <t>509E10000</t>
  </si>
  <si>
    <t>Tip Elev.</t>
  </si>
  <si>
    <t>Elastomeric</t>
  </si>
  <si>
    <t>Pads</t>
  </si>
  <si>
    <t>ALT. 1</t>
  </si>
  <si>
    <t>ALT. 2</t>
  </si>
  <si>
    <t>Grey highlight - Quantity shown below</t>
  </si>
  <si>
    <t>REINFORCED CONCRETE APPROACH SLABS (T=17"), AS PER PLAN</t>
  </si>
  <si>
    <t>526E30001</t>
  </si>
  <si>
    <t>30001</t>
  </si>
  <si>
    <t>For abutment over MSE wall, 30' is the minimum</t>
  </si>
  <si>
    <t>Extg Deck Area =</t>
  </si>
  <si>
    <t>Assumed cost =</t>
  </si>
  <si>
    <t>sy</t>
  </si>
  <si>
    <t>$/sy</t>
  </si>
  <si>
    <t>Total Lump sum =</t>
  </si>
  <si>
    <t>$</t>
  </si>
  <si>
    <t>Per Inspection report (includes EB)</t>
  </si>
  <si>
    <t>Extg Deck Area, WB Only =</t>
  </si>
  <si>
    <t>11002</t>
  </si>
  <si>
    <t>STRUCTURE REMOVED, OVER 20 FOOT SPAN</t>
  </si>
  <si>
    <t>See price calc below</t>
  </si>
  <si>
    <t>Based onProposed EB Bridge Estimate</t>
  </si>
  <si>
    <t>Based onProposed EB Bridge Estimate, $253/sy in bid tabs</t>
  </si>
  <si>
    <t>Porous Backfill Width =</t>
  </si>
  <si>
    <t>Porous Backfill Height =</t>
  </si>
  <si>
    <t>Porous Backfill Volume =</t>
  </si>
  <si>
    <t>518E21200</t>
  </si>
  <si>
    <t>202E11002</t>
  </si>
  <si>
    <t>Rear Wingwall, Left</t>
  </si>
  <si>
    <t>Fwd. Wingwall, Left</t>
  </si>
  <si>
    <t>VPI</t>
  </si>
  <si>
    <t>STA</t>
  </si>
  <si>
    <t>EL</t>
  </si>
  <si>
    <t>Grade</t>
  </si>
  <si>
    <t>I70 STA</t>
  </si>
  <si>
    <t>I70 EL</t>
  </si>
  <si>
    <t>O</t>
  </si>
  <si>
    <t>EL Rdwy</t>
  </si>
  <si>
    <t>Conclusion - Ramp D3 vertical profile is built off the I-70 WB profile, at least within the 1373L bridge limits where it was spot checked. 4/11/2014 MRM</t>
  </si>
  <si>
    <t>ALTERNATIVE 1 - 1 SPAN AASHTO TYPE 4 (54") PRESTRESSED CONCRETE GIRDERS WITH SEMI-INTEGRAL ABUTMENTS BEHIND MSE WALLS</t>
  </si>
  <si>
    <t>DRAPED STRAND PRESTRESSED CONCRETE BRIDGE I-BEAM MEMBERS, LEVEL 3, TYPE 4</t>
  </si>
  <si>
    <t>15020</t>
  </si>
  <si>
    <t>DRAPED STRAND PRESTRESSED CONCRETE BRIDGE I-BEAM MEMBERS, LEVEL 3, TYPE 4 &amp; PRESTRESSED CONCRETE BRIDGE I-BEAM MEMBERS, MISC.: WF48-49</t>
  </si>
  <si>
    <t>15020 &amp; 16000</t>
  </si>
  <si>
    <t># Girders (1 less than total) =</t>
  </si>
  <si>
    <t>*Average Deck Width - Max = 64.59, Min = 63.35</t>
  </si>
  <si>
    <t>AASHTO Type 4 (54")</t>
  </si>
  <si>
    <t>WF48-49</t>
  </si>
  <si>
    <t xml:space="preserve">*Average Width - 62.26' (61'-3.125" roadway + 6" curbs ea side) @ Rear Abut.; </t>
  </si>
  <si>
    <t xml:space="preserve">61' (60'-0.25" roadway + 6" curbs ea side) @ Rear Abut.; </t>
  </si>
  <si>
    <t>3/14/2014, Rev 4/22</t>
  </si>
  <si>
    <t>MECHANICALLY STABILIZED EARTH WALL (SEE NOTE 2)</t>
  </si>
  <si>
    <t>SEE NOTE 3</t>
  </si>
  <si>
    <t xml:space="preserve">3. Annual escalation rates have been incorporated by ms consultants, inc. in the overall </t>
  </si>
  <si>
    <t xml:space="preserve">     project estimate.</t>
  </si>
  <si>
    <t>2. Cost of MSE wall included under the project wide cost for walls.</t>
  </si>
  <si>
    <t>PRELIMINARY CONSTRUCTION COST ESTIMATE</t>
  </si>
  <si>
    <t>ZNG</t>
  </si>
  <si>
    <t>BOTTOM OF FOOTING/BRIDGE SEAT ELEVATIONS - 1 SPAN CONCRETE, AASHTO TYPE 4 (54")</t>
  </si>
  <si>
    <t>I-70 WB OVER SHORT STREET (FRA-070-1373L)</t>
  </si>
  <si>
    <t>LT EDGE</t>
  </si>
  <si>
    <t>RT EDGE</t>
  </si>
  <si>
    <t>I-70 WB Station</t>
  </si>
  <si>
    <t>LT TOB</t>
  </si>
  <si>
    <t>CL RAMP 3</t>
  </si>
  <si>
    <t>CL I70WB</t>
  </si>
  <si>
    <t>RT TOB</t>
  </si>
  <si>
    <t>Offset</t>
  </si>
  <si>
    <t>Sta.</t>
  </si>
  <si>
    <t>Super</t>
  </si>
  <si>
    <t>Ramp D3 Superelevation Rates</t>
  </si>
  <si>
    <t>I70 WB Superelevation Rates</t>
  </si>
  <si>
    <t>Ramp D3 Superelevation Rates for Approach Slab</t>
  </si>
  <si>
    <t>I70WB Superelevation Rates for Approach Slab</t>
  </si>
  <si>
    <t>I-70 WB Station (Along Ramp D3 to get Ramp elevation)</t>
  </si>
  <si>
    <t>Gore Width</t>
  </si>
  <si>
    <t>X-Slope on I-70 WB (in Gore)</t>
  </si>
  <si>
    <t>Offset (from tangent I-70WB)</t>
  </si>
  <si>
    <t>Beams 2 - 6</t>
  </si>
  <si>
    <t>Beam 1</t>
  </si>
  <si>
    <t>0.25 Pt.</t>
  </si>
  <si>
    <t>0.50 Pt.</t>
  </si>
  <si>
    <t>0.75 Pt.</t>
  </si>
  <si>
    <t>Distance</t>
  </si>
  <si>
    <t>Support to Support Chord Elev.</t>
  </si>
  <si>
    <t>Final Deck Surface Elevation</t>
  </si>
  <si>
    <t>Beam 2</t>
  </si>
  <si>
    <t>Beam 3</t>
  </si>
  <si>
    <t>Beam 4</t>
  </si>
  <si>
    <t>Beam 5</t>
  </si>
  <si>
    <t>Beam 6</t>
  </si>
  <si>
    <t>Beam 7</t>
  </si>
  <si>
    <t>Net Camber at midspan</t>
  </si>
  <si>
    <t>Camber Adjustment</t>
  </si>
  <si>
    <t>Beams 1, 7</t>
  </si>
  <si>
    <t>TOPPING THICKNESS FOR CAMBER</t>
  </si>
  <si>
    <t>Ref: 302.5.2.3</t>
  </si>
  <si>
    <t>Concrete topping thickness (Tx) at any point, x</t>
  </si>
  <si>
    <t>Tx = A + Bx + C + Dt,x - E</t>
  </si>
  <si>
    <t>A =</t>
  </si>
  <si>
    <t>Design deck thickness</t>
  </si>
  <si>
    <t>Bx =</t>
  </si>
  <si>
    <t>Vertical grade adjustment</t>
  </si>
  <si>
    <t>See below</t>
  </si>
  <si>
    <t>Sacrificial haunch depth</t>
  </si>
  <si>
    <t>Dt,x =</t>
  </si>
  <si>
    <t>Beam camber adjustment at day t</t>
  </si>
  <si>
    <t>Haunch adjustment</t>
  </si>
  <si>
    <t>Min at edge =</t>
  </si>
  <si>
    <t>Top Flange width =</t>
  </si>
  <si>
    <t>Cross slope =</t>
  </si>
  <si>
    <t>C at other edge =</t>
  </si>
  <si>
    <t>C at mid. of flange =</t>
  </si>
  <si>
    <t>Relative Humidity =</t>
  </si>
  <si>
    <t>%</t>
  </si>
  <si>
    <t xml:space="preserve">ti = </t>
  </si>
  <si>
    <t>day</t>
  </si>
  <si>
    <t>f'c =</t>
  </si>
  <si>
    <t>ksi</t>
  </si>
  <si>
    <t>t =</t>
  </si>
  <si>
    <t>Vol/Surface Area =</t>
  </si>
  <si>
    <r>
      <rPr>
        <sz val="10"/>
        <rFont val="Symbol"/>
        <family val="1"/>
        <charset val="2"/>
      </rPr>
      <t>Y</t>
    </r>
    <r>
      <rPr>
        <sz val="10"/>
        <rFont val="Arial"/>
        <family val="2"/>
      </rPr>
      <t>(t,ti) =</t>
    </r>
  </si>
  <si>
    <r>
      <t>(1.9*Ks*Khc*Kf*Ktd)(ti)</t>
    </r>
    <r>
      <rPr>
        <vertAlign val="superscript"/>
        <sz val="10"/>
        <rFont val="Arial"/>
        <family val="2"/>
      </rPr>
      <t>-0.118</t>
    </r>
  </si>
  <si>
    <t>Ks =</t>
  </si>
  <si>
    <t>1.45-0.13(V/S)&gt;=1.0</t>
  </si>
  <si>
    <t>=</t>
  </si>
  <si>
    <t>Use max Value here</t>
  </si>
  <si>
    <t>for t = 0.75</t>
  </si>
  <si>
    <t>Khc =</t>
  </si>
  <si>
    <t>1.56-0.008H</t>
  </si>
  <si>
    <t>for t = 30</t>
  </si>
  <si>
    <t>Use for beam seats</t>
  </si>
  <si>
    <t>Kf =</t>
  </si>
  <si>
    <t>5/(1+f'ci)</t>
  </si>
  <si>
    <t>Ktd =</t>
  </si>
  <si>
    <t>t/(61-4*f'ci+t))</t>
  </si>
  <si>
    <r>
      <t>D</t>
    </r>
    <r>
      <rPr>
        <b/>
        <vertAlign val="subscript"/>
        <sz val="10"/>
        <rFont val="Arial"/>
        <family val="2"/>
      </rPr>
      <t>30</t>
    </r>
    <r>
      <rPr>
        <b/>
        <sz val="10"/>
        <rFont val="Arial"/>
        <family val="2"/>
      </rPr>
      <t xml:space="preserve"> =</t>
    </r>
  </si>
  <si>
    <r>
      <t>[1+</t>
    </r>
    <r>
      <rPr>
        <b/>
        <sz val="10"/>
        <rFont val="Symbol"/>
        <family val="1"/>
        <charset val="2"/>
      </rPr>
      <t>Y</t>
    </r>
    <r>
      <rPr>
        <b/>
        <sz val="10"/>
        <rFont val="Arial"/>
        <family val="2"/>
      </rPr>
      <t>(t,ti)]D</t>
    </r>
    <r>
      <rPr>
        <b/>
        <vertAlign val="subscript"/>
        <sz val="10"/>
        <rFont val="Arial"/>
        <family val="2"/>
      </rPr>
      <t>0</t>
    </r>
    <r>
      <rPr>
        <b/>
        <sz val="10"/>
        <rFont val="Arial"/>
        <family val="2"/>
      </rPr>
      <t xml:space="preserve">  =</t>
    </r>
  </si>
  <si>
    <r>
      <t>*D</t>
    </r>
    <r>
      <rPr>
        <b/>
        <vertAlign val="subscript"/>
        <sz val="10"/>
        <rFont val="Arial"/>
        <family val="2"/>
      </rPr>
      <t>0</t>
    </r>
    <r>
      <rPr>
        <b/>
        <sz val="10"/>
        <rFont val="Arial"/>
        <family val="2"/>
      </rPr>
      <t xml:space="preserve"> = Multiplier for CONSPAN</t>
    </r>
  </si>
  <si>
    <t>Span 1</t>
  </si>
  <si>
    <t>P/S</t>
  </si>
  <si>
    <t>From CONSPAN Camber Values at Release at Midspan</t>
  </si>
  <si>
    <t>Self Wt.</t>
  </si>
  <si>
    <r>
      <t>At Midspan D</t>
    </r>
    <r>
      <rPr>
        <vertAlign val="subscript"/>
        <sz val="10"/>
        <rFont val="Arial"/>
        <family val="2"/>
      </rPr>
      <t>0</t>
    </r>
    <r>
      <rPr>
        <sz val="10"/>
        <rFont val="Arial"/>
        <family val="2"/>
      </rPr>
      <t xml:space="preserve"> =</t>
    </r>
  </si>
  <si>
    <t>= Net Camber at Midspan</t>
  </si>
  <si>
    <r>
      <t>D</t>
    </r>
    <r>
      <rPr>
        <vertAlign val="subscript"/>
        <sz val="10"/>
        <rFont val="Arial"/>
        <family val="2"/>
      </rPr>
      <t>30</t>
    </r>
    <r>
      <rPr>
        <sz val="10"/>
        <rFont val="Arial"/>
        <family val="2"/>
      </rPr>
      <t xml:space="preserve"> =</t>
    </r>
  </si>
  <si>
    <t>SACRIFICIAL HAUNCH DEPTH</t>
  </si>
  <si>
    <t>VERTICAL GRADE ADJUSTMENT</t>
  </si>
  <si>
    <t>PSID1-13 (1/10)</t>
  </si>
  <si>
    <r>
      <t>D</t>
    </r>
    <r>
      <rPr>
        <b/>
        <vertAlign val="subscript"/>
        <sz val="12"/>
        <rFont val="Arial"/>
        <family val="2"/>
      </rPr>
      <t>tx</t>
    </r>
  </si>
  <si>
    <t>See Camber tab</t>
  </si>
  <si>
    <r>
      <t>Camber Adjustment (D</t>
    </r>
    <r>
      <rPr>
        <vertAlign val="subscript"/>
        <sz val="10"/>
        <rFont val="Arial"/>
        <family val="2"/>
      </rPr>
      <t>30</t>
    </r>
    <r>
      <rPr>
        <sz val="10"/>
        <rFont val="Arial"/>
        <family val="2"/>
      </rPr>
      <t>)</t>
    </r>
  </si>
  <si>
    <r>
      <t>T</t>
    </r>
    <r>
      <rPr>
        <vertAlign val="subscript"/>
        <sz val="10"/>
        <rFont val="Arial"/>
        <family val="2"/>
      </rPr>
      <t>X</t>
    </r>
  </si>
  <si>
    <r>
      <t>Vertical Grade Adjustment (B</t>
    </r>
    <r>
      <rPr>
        <vertAlign val="subscript"/>
        <sz val="10"/>
        <rFont val="Arial"/>
        <family val="2"/>
      </rPr>
      <t>x</t>
    </r>
    <r>
      <rPr>
        <sz val="10"/>
        <rFont val="Arial"/>
        <family val="2"/>
      </rPr>
      <t>)</t>
    </r>
  </si>
  <si>
    <t>(feet)</t>
  </si>
  <si>
    <t>(inches)</t>
  </si>
  <si>
    <t>Haunch Adjustment (E)</t>
  </si>
  <si>
    <r>
      <t>= C</t>
    </r>
    <r>
      <rPr>
        <sz val="10"/>
        <rFont val="Arial"/>
        <family val="2"/>
      </rPr>
      <t xml:space="preserve"> (Beams 1-5)</t>
    </r>
  </si>
  <si>
    <t>SLAB ELEVATIONS - PLAN TABLE</t>
  </si>
  <si>
    <t>LOCATION</t>
  </si>
  <si>
    <t>Left Toe of Parapet</t>
  </si>
  <si>
    <t>STATION</t>
  </si>
  <si>
    <t>FINAL DECK ELEV.</t>
  </si>
  <si>
    <t>SCREED ELEV.</t>
  </si>
  <si>
    <t>TOP OF HAUNCH ELEV.</t>
  </si>
  <si>
    <t>Base Line Ramp &amp; Crown</t>
  </si>
  <si>
    <t>Base Line I-70 WB</t>
  </si>
  <si>
    <t>Right Toe of Parapet</t>
  </si>
  <si>
    <t>FINAL DECK SURFACE ELEVATIONS</t>
  </si>
  <si>
    <t>Location</t>
  </si>
  <si>
    <t>Exterior Beam</t>
  </si>
  <si>
    <t>Interior Beam</t>
  </si>
  <si>
    <t>.25 Point</t>
  </si>
  <si>
    <t>.5 Point</t>
  </si>
  <si>
    <t>.75 Point</t>
  </si>
  <si>
    <t>Screed Elevation</t>
  </si>
  <si>
    <t>Top of Haunch Elevation</t>
  </si>
  <si>
    <t>Screed Deflections (Composite &amp; Non-Composite)</t>
  </si>
  <si>
    <t>Haunch Deflections (Composite only)</t>
  </si>
  <si>
    <t>Girder 1</t>
  </si>
  <si>
    <t>Girder 2</t>
  </si>
  <si>
    <t>Girder 3</t>
  </si>
  <si>
    <t>Girder 4</t>
  </si>
  <si>
    <t>Girder 5</t>
  </si>
  <si>
    <t>Girder 6</t>
  </si>
  <si>
    <t xml:space="preserve">Girder 7 </t>
  </si>
  <si>
    <t>Total Topping Thickness =</t>
  </si>
  <si>
    <t>Beam Height =</t>
  </si>
  <si>
    <t>Bearing Heights =</t>
  </si>
  <si>
    <t>Total Depth =</t>
  </si>
  <si>
    <t>Abutment Bearings:</t>
  </si>
  <si>
    <t xml:space="preserve">Camber = </t>
  </si>
  <si>
    <t>Depth</t>
  </si>
  <si>
    <t>Bot. Footing</t>
  </si>
  <si>
    <t>FRA-070-1373L</t>
  </si>
  <si>
    <t>VKN</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</si>
</sst>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64" formatCode="#\+##.00"/>
    <numFmt numFmtId="165" formatCode="#\+##.00;#\+##.00;\ "/>
    <numFmt numFmtId="166" formatCode="0.00;\-0.00;\ "/>
    <numFmt numFmtId="167" formatCode="0.00%;\-0.00%;\ "/>
    <numFmt numFmtId="168" formatCode="0.000000;\-0.000000;\ "/>
    <numFmt numFmtId="169" formatCode="_([$€-2]* #,##0.00_);_([$€-2]* \(#,##0.00\);_([$€-2]* &quot;-&quot;??_)"/>
    <numFmt numFmtId="170" formatCode="0.000"/>
    <numFmt numFmtId="171" formatCode="0\^\-"/>
    <numFmt numFmtId="172" formatCode="0\'\-;0\'\-;\ "/>
    <numFmt numFmtId="173" formatCode="0\'\';0\'\';\ "/>
    <numFmt numFmtId="174" formatCode="0.00000;0.00000;0.00000"/>
    <numFmt numFmtId="175" formatCode="0.0000"/>
    <numFmt numFmtId="176" formatCode="0.0000;\-0.0000;\ "/>
    <numFmt numFmtId="177" formatCode="0.0"/>
    <numFmt numFmtId="178" formatCode="0.0%"/>
    <numFmt numFmtId="179" formatCode="0.00\'"/>
    <numFmt numFmtId="180" formatCode="0.0\ \k"/>
    <numFmt numFmtId="181" formatCode="0.0\ \k\-\f\t"/>
    <numFmt numFmtId="182" formatCode="&quot;&gt;=&quot;#.0"/>
    <numFmt numFmtId="183" formatCode="0\ \k"/>
    <numFmt numFmtId="184" formatCode="0\ \k\-\f\t"/>
    <numFmt numFmtId="185" formatCode="&quot;$&quot;#,##0"/>
    <numFmt numFmtId="186" formatCode="&quot;$&quot;#,##0.00"/>
    <numFmt numFmtId="187" formatCode="0.00\'\';0.00\'\';\ "/>
    <numFmt numFmtId="188" formatCode="###\+##.00;###\+##.00;\ "/>
    <numFmt numFmtId="189" formatCode="0.00\ \P\t."/>
    <numFmt numFmtId="192" formatCode="[$-409]mmm\-yy;@"/>
  </numFmts>
  <fonts count="4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u/>
      <sz val="10"/>
      <name val="Arial"/>
      <family val="2"/>
    </font>
    <font>
      <i/>
      <sz val="10"/>
      <name val="Arial"/>
      <family val="2"/>
    </font>
    <font>
      <b/>
      <sz val="14"/>
      <name val="Arial"/>
      <family val="2"/>
    </font>
    <font>
      <b/>
      <sz val="16"/>
      <name val="Arial"/>
      <family val="2"/>
    </font>
    <font>
      <b/>
      <sz val="12"/>
      <name val="Arial"/>
      <family val="2"/>
    </font>
    <font>
      <u/>
      <sz val="10"/>
      <name val="Arial"/>
      <family val="2"/>
    </font>
    <font>
      <b/>
      <sz val="11"/>
      <color theme="1"/>
      <name val="Calibri"/>
      <family val="2"/>
      <scheme val="minor"/>
    </font>
    <font>
      <sz val="10"/>
      <color theme="1"/>
      <name val="Arial"/>
      <family val="2"/>
    </font>
    <font>
      <b/>
      <sz val="14"/>
      <color theme="1"/>
      <name val="Arial"/>
      <family val="2"/>
    </font>
    <font>
      <b/>
      <sz val="10"/>
      <color theme="1"/>
      <name val="Arial"/>
      <family val="2"/>
    </font>
    <font>
      <b/>
      <u/>
      <sz val="10"/>
      <color theme="1"/>
      <name val="Arial"/>
      <family val="2"/>
    </font>
    <font>
      <vertAlign val="subscript"/>
      <sz val="10"/>
      <color theme="1"/>
      <name val="Arial"/>
      <family val="2"/>
    </font>
    <font>
      <i/>
      <sz val="10"/>
      <color theme="1"/>
      <name val="Arial"/>
      <family val="2"/>
    </font>
    <font>
      <i/>
      <vertAlign val="subscript"/>
      <sz val="10"/>
      <color theme="1"/>
      <name val="Arial"/>
      <family val="2"/>
    </font>
    <font>
      <sz val="10"/>
      <color theme="1"/>
      <name val="Symbol"/>
      <family val="1"/>
      <charset val="2"/>
    </font>
    <font>
      <vertAlign val="superscript"/>
      <sz val="10"/>
      <color theme="1"/>
      <name val="Arial"/>
      <family val="2"/>
    </font>
    <font>
      <sz val="10"/>
      <color rgb="FFFF0000"/>
      <name val="Arial"/>
      <family val="2"/>
    </font>
    <font>
      <u/>
      <sz val="10"/>
      <color theme="1"/>
      <name val="Arial"/>
      <family val="2"/>
    </font>
    <font>
      <u/>
      <vertAlign val="subscript"/>
      <sz val="10"/>
      <color theme="1"/>
      <name val="Arial"/>
      <family val="2"/>
    </font>
    <font>
      <sz val="6"/>
      <color theme="1"/>
      <name val="Arial"/>
      <family val="2"/>
    </font>
    <font>
      <sz val="6"/>
      <color theme="1"/>
      <name val="Symbol"/>
      <family val="1"/>
      <charset val="2"/>
    </font>
    <font>
      <vertAlign val="subscript"/>
      <sz val="6"/>
      <color theme="1"/>
      <name val="Arial"/>
      <family val="2"/>
    </font>
    <font>
      <sz val="8"/>
      <color theme="1"/>
      <name val="Arial"/>
      <family val="2"/>
    </font>
    <font>
      <b/>
      <u/>
      <sz val="12"/>
      <name val="Arial"/>
      <family val="2"/>
    </font>
    <font>
      <b/>
      <u/>
      <sz val="11"/>
      <name val="Arial"/>
      <family val="2"/>
    </font>
    <font>
      <b/>
      <sz val="14"/>
      <color theme="1"/>
      <name val="Calibri"/>
      <family val="2"/>
      <scheme val="minor"/>
    </font>
    <font>
      <u/>
      <sz val="11"/>
      <color theme="1"/>
      <name val="Calibri"/>
      <family val="2"/>
      <scheme val="minor"/>
    </font>
    <font>
      <sz val="11"/>
      <name val="Calibri"/>
      <family val="2"/>
    </font>
    <font>
      <sz val="10"/>
      <name val="Symbol"/>
      <family val="1"/>
      <charset val="2"/>
    </font>
    <font>
      <vertAlign val="superscript"/>
      <sz val="10"/>
      <name val="Arial"/>
      <family val="2"/>
    </font>
    <font>
      <b/>
      <vertAlign val="subscript"/>
      <sz val="10"/>
      <name val="Arial"/>
      <family val="2"/>
    </font>
    <font>
      <b/>
      <sz val="10"/>
      <name val="Symbol"/>
      <family val="1"/>
      <charset val="2"/>
    </font>
    <font>
      <vertAlign val="subscript"/>
      <sz val="10"/>
      <name val="Arial"/>
      <family val="2"/>
    </font>
    <font>
      <b/>
      <sz val="10"/>
      <color rgb="FF0070C0"/>
      <name val="Arial"/>
      <family val="2"/>
    </font>
    <font>
      <b/>
      <vertAlign val="subscript"/>
      <sz val="12"/>
      <name val="Arial"/>
      <family val="2"/>
    </font>
  </fonts>
  <fills count="9">
    <fill>
      <patternFill patternType="none"/>
    </fill>
    <fill>
      <patternFill patternType="gray125"/>
    </fill>
    <fill>
      <patternFill patternType="solid">
        <fgColor theme="8" tint="0.59999389629810485"/>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1"/>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FF99"/>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double">
        <color indexed="64"/>
      </top>
      <bottom/>
      <diagonal/>
    </border>
    <border>
      <left/>
      <right/>
      <top/>
      <bottom style="double">
        <color indexed="64"/>
      </bottom>
      <diagonal/>
    </border>
    <border>
      <left style="thin">
        <color indexed="64"/>
      </left>
      <right/>
      <top/>
      <bottom style="thin">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style="medium">
        <color indexed="64"/>
      </right>
      <top style="double">
        <color indexed="64"/>
      </top>
      <bottom/>
      <diagonal/>
    </border>
    <border>
      <left/>
      <right style="medium">
        <color indexed="64"/>
      </right>
      <top/>
      <bottom/>
      <diagonal/>
    </border>
    <border>
      <left/>
      <right style="medium">
        <color indexed="64"/>
      </right>
      <top/>
      <bottom style="double">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right/>
      <top/>
      <bottom style="thin">
        <color indexed="64"/>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style="medium">
        <color indexed="64"/>
      </left>
      <right style="medium">
        <color indexed="64"/>
      </right>
      <top/>
      <bottom style="thin">
        <color indexed="64"/>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medium">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s>
  <cellStyleXfs count="6">
    <xf numFmtId="0" fontId="0" fillId="0" borderId="0"/>
    <xf numFmtId="169" fontId="8" fillId="0" borderId="0" applyFont="0" applyFill="0" applyBorder="0" applyAlignment="0" applyProtection="0"/>
    <xf numFmtId="9" fontId="8" fillId="0" borderId="0" applyFont="0" applyFill="0" applyBorder="0" applyAlignment="0" applyProtection="0"/>
    <xf numFmtId="0" fontId="8" fillId="0" borderId="0"/>
    <xf numFmtId="0" fontId="17" fillId="0" borderId="0"/>
    <xf numFmtId="0" fontId="7" fillId="0" borderId="0"/>
  </cellStyleXfs>
  <cellXfs count="827">
    <xf numFmtId="0" fontId="0" fillId="0" borderId="0" xfId="0"/>
    <xf numFmtId="0" fontId="10" fillId="0" borderId="0" xfId="0" applyFont="1"/>
    <xf numFmtId="0" fontId="0" fillId="0" borderId="0" xfId="0" applyBorder="1"/>
    <xf numFmtId="0" fontId="0" fillId="0" borderId="0" xfId="0" applyFill="1" applyBorder="1" applyAlignment="1">
      <alignment horizontal="center"/>
    </xf>
    <xf numFmtId="0" fontId="11" fillId="0" borderId="0" xfId="0" applyFont="1" applyBorder="1"/>
    <xf numFmtId="0" fontId="9" fillId="0" borderId="0" xfId="0" applyFont="1" applyBorder="1" applyAlignment="1">
      <alignment horizontal="right"/>
    </xf>
    <xf numFmtId="165" fontId="0" fillId="0" borderId="0" xfId="0" applyNumberFormat="1" applyBorder="1"/>
    <xf numFmtId="0" fontId="0" fillId="0" borderId="0" xfId="0" applyFill="1" applyBorder="1" applyAlignment="1">
      <alignment horizontal="right"/>
    </xf>
    <xf numFmtId="0" fontId="0" fillId="0" borderId="0" xfId="0" applyFill="1" applyBorder="1"/>
    <xf numFmtId="2" fontId="0" fillId="0" borderId="0" xfId="0" applyNumberFormat="1" applyFill="1" applyBorder="1"/>
    <xf numFmtId="0" fontId="0" fillId="0" borderId="0" xfId="0" applyBorder="1" applyAlignment="1">
      <alignment horizontal="right"/>
    </xf>
    <xf numFmtId="165" fontId="0" fillId="0" borderId="0" xfId="0" applyNumberFormat="1" applyBorder="1" applyAlignment="1">
      <alignment horizontal="right"/>
    </xf>
    <xf numFmtId="166" fontId="0" fillId="0" borderId="0" xfId="0" applyNumberFormat="1" applyBorder="1"/>
    <xf numFmtId="166" fontId="0" fillId="0" borderId="0" xfId="0" applyNumberFormat="1" applyBorder="1" applyAlignment="1">
      <alignment horizontal="right"/>
    </xf>
    <xf numFmtId="167" fontId="0" fillId="0" borderId="0" xfId="0" applyNumberFormat="1" applyBorder="1"/>
    <xf numFmtId="168" fontId="0" fillId="0" borderId="0" xfId="0" applyNumberFormat="1" applyBorder="1"/>
    <xf numFmtId="0" fontId="10" fillId="0" borderId="0" xfId="0" applyFont="1" applyBorder="1" applyAlignment="1">
      <alignment horizontal="left"/>
    </xf>
    <xf numFmtId="0" fontId="0" fillId="0" borderId="0" xfId="0" applyAlignment="1">
      <alignment horizontal="right"/>
    </xf>
    <xf numFmtId="166" fontId="0" fillId="0" borderId="1" xfId="0" applyNumberFormat="1" applyBorder="1" applyAlignment="1">
      <alignment horizontal="center"/>
    </xf>
    <xf numFmtId="2" fontId="0" fillId="0" borderId="2" xfId="0" applyNumberFormat="1" applyBorder="1" applyAlignment="1">
      <alignment horizontal="center"/>
    </xf>
    <xf numFmtId="2" fontId="0" fillId="0" borderId="4" xfId="0" applyNumberFormat="1" applyBorder="1" applyAlignment="1">
      <alignment horizontal="center"/>
    </xf>
    <xf numFmtId="165" fontId="0" fillId="0" borderId="0" xfId="0" applyNumberFormat="1" applyFill="1" applyBorder="1" applyAlignment="1">
      <alignment horizontal="center"/>
    </xf>
    <xf numFmtId="166" fontId="0" fillId="0" borderId="0" xfId="0" applyNumberFormat="1" applyBorder="1" applyAlignment="1">
      <alignment horizontal="center"/>
    </xf>
    <xf numFmtId="2" fontId="0" fillId="0" borderId="0" xfId="0" applyNumberFormat="1" applyBorder="1" applyAlignment="1">
      <alignment horizontal="center"/>
    </xf>
    <xf numFmtId="2" fontId="0" fillId="0" borderId="0" xfId="0" applyNumberFormat="1" applyFill="1" applyBorder="1" applyAlignment="1">
      <alignment horizontal="center"/>
    </xf>
    <xf numFmtId="14" fontId="0" fillId="0" borderId="0" xfId="0" applyNumberFormat="1" applyAlignment="1">
      <alignment horizontal="center"/>
    </xf>
    <xf numFmtId="0" fontId="9" fillId="0" borderId="0" xfId="0" applyFont="1" applyBorder="1" applyAlignment="1">
      <alignment horizontal="center"/>
    </xf>
    <xf numFmtId="0" fontId="9" fillId="0" borderId="0" xfId="0" applyFont="1" applyBorder="1" applyAlignment="1">
      <alignment horizontal="left"/>
    </xf>
    <xf numFmtId="0" fontId="9" fillId="0" borderId="0" xfId="0" applyFont="1" applyBorder="1"/>
    <xf numFmtId="0" fontId="9" fillId="0" borderId="5" xfId="0" applyFont="1" applyBorder="1" applyAlignment="1">
      <alignment horizontal="center"/>
    </xf>
    <xf numFmtId="0" fontId="0" fillId="0" borderId="5" xfId="0" applyBorder="1"/>
    <xf numFmtId="0" fontId="0" fillId="0" borderId="6" xfId="0" applyBorder="1"/>
    <xf numFmtId="2" fontId="9" fillId="0" borderId="0" xfId="0" applyNumberFormat="1" applyFont="1" applyAlignment="1">
      <alignment horizontal="right"/>
    </xf>
    <xf numFmtId="0" fontId="0" fillId="0" borderId="8" xfId="0" applyBorder="1"/>
    <xf numFmtId="0" fontId="0" fillId="0" borderId="9" xfId="0" applyBorder="1"/>
    <xf numFmtId="0" fontId="0" fillId="0" borderId="10" xfId="0" applyBorder="1"/>
    <xf numFmtId="0" fontId="9" fillId="0" borderId="0" xfId="0" applyFont="1" applyAlignment="1">
      <alignment horizontal="left"/>
    </xf>
    <xf numFmtId="9" fontId="0" fillId="0" borderId="0" xfId="2" applyFont="1" applyFill="1" applyBorder="1" applyAlignment="1">
      <alignment horizontal="center"/>
    </xf>
    <xf numFmtId="0" fontId="8" fillId="0" borderId="0" xfId="0" applyFont="1" applyAlignment="1">
      <alignment horizontal="right"/>
    </xf>
    <xf numFmtId="0" fontId="8" fillId="0" borderId="0" xfId="0" applyFont="1"/>
    <xf numFmtId="165" fontId="0" fillId="0" borderId="0" xfId="0" applyNumberFormat="1" applyFill="1" applyBorder="1"/>
    <xf numFmtId="0" fontId="8" fillId="0" borderId="3" xfId="0" applyFont="1" applyBorder="1" applyAlignment="1">
      <alignment horizontal="center"/>
    </xf>
    <xf numFmtId="9" fontId="9" fillId="0" borderId="0" xfId="2" applyFont="1" applyFill="1" applyBorder="1" applyAlignment="1">
      <alignment horizontal="left"/>
    </xf>
    <xf numFmtId="0" fontId="9" fillId="0" borderId="0" xfId="0" applyFont="1"/>
    <xf numFmtId="0" fontId="8" fillId="0" borderId="0" xfId="0" applyFont="1" applyBorder="1" applyAlignment="1">
      <alignment horizontal="left"/>
    </xf>
    <xf numFmtId="0" fontId="0" fillId="2" borderId="0" xfId="0" applyFill="1" applyBorder="1" applyAlignment="1">
      <alignment horizontal="center"/>
    </xf>
    <xf numFmtId="171" fontId="0" fillId="2" borderId="0" xfId="0" applyNumberFormat="1" applyFill="1" applyBorder="1" applyAlignment="1">
      <alignment horizontal="right"/>
    </xf>
    <xf numFmtId="172" fontId="0" fillId="2" borderId="0" xfId="0" applyNumberFormat="1" applyFill="1" applyBorder="1" applyAlignment="1">
      <alignment horizontal="center"/>
    </xf>
    <xf numFmtId="173" fontId="0" fillId="2" borderId="0" xfId="0" applyNumberFormat="1" applyFill="1" applyBorder="1" applyAlignment="1">
      <alignment horizontal="left"/>
    </xf>
    <xf numFmtId="0" fontId="0" fillId="0" borderId="0" xfId="0" applyBorder="1" applyAlignment="1">
      <alignment horizontal="left"/>
    </xf>
    <xf numFmtId="174" fontId="0" fillId="0" borderId="0" xfId="0" applyNumberFormat="1" applyBorder="1" applyAlignment="1">
      <alignment horizontal="center"/>
    </xf>
    <xf numFmtId="175" fontId="0" fillId="0" borderId="0" xfId="0" applyNumberFormat="1" applyBorder="1" applyAlignment="1">
      <alignment horizontal="center"/>
    </xf>
    <xf numFmtId="2" fontId="0" fillId="2" borderId="0" xfId="0" applyNumberFormat="1" applyFill="1"/>
    <xf numFmtId="165" fontId="0" fillId="2" borderId="1" xfId="0" applyNumberFormat="1" applyFill="1" applyBorder="1" applyAlignment="1">
      <alignment horizontal="center"/>
    </xf>
    <xf numFmtId="0" fontId="8" fillId="0" borderId="0" xfId="0" applyFont="1" applyFill="1" applyBorder="1" applyAlignment="1">
      <alignment horizontal="center"/>
    </xf>
    <xf numFmtId="2" fontId="0" fillId="2" borderId="23" xfId="0" applyNumberFormat="1" applyFill="1" applyBorder="1"/>
    <xf numFmtId="0" fontId="9" fillId="0" borderId="0" xfId="0" applyFont="1" applyAlignment="1">
      <alignment horizontal="right"/>
    </xf>
    <xf numFmtId="0" fontId="0" fillId="0" borderId="24" xfId="0" applyBorder="1"/>
    <xf numFmtId="0" fontId="9" fillId="0" borderId="2" xfId="0" applyFont="1" applyBorder="1" applyAlignment="1">
      <alignment horizontal="center" vertical="center"/>
    </xf>
    <xf numFmtId="10" fontId="0" fillId="2" borderId="1" xfId="0" applyNumberFormat="1" applyFill="1" applyBorder="1" applyAlignment="1">
      <alignment horizontal="center"/>
    </xf>
    <xf numFmtId="2" fontId="0" fillId="2" borderId="1" xfId="0" applyNumberFormat="1" applyFill="1" applyBorder="1" applyAlignment="1">
      <alignment horizontal="center"/>
    </xf>
    <xf numFmtId="0" fontId="0" fillId="0" borderId="0" xfId="0" applyBorder="1" applyAlignment="1">
      <alignment horizontal="center"/>
    </xf>
    <xf numFmtId="0" fontId="8" fillId="0" borderId="24" xfId="0" applyFont="1" applyBorder="1"/>
    <xf numFmtId="0" fontId="0" fillId="0" borderId="0" xfId="0" applyFill="1" applyBorder="1" applyAlignment="1">
      <alignment horizontal="left"/>
    </xf>
    <xf numFmtId="0" fontId="8" fillId="0" borderId="0" xfId="0" applyFont="1" applyFill="1" applyBorder="1" applyAlignment="1">
      <alignment horizontal="right"/>
    </xf>
    <xf numFmtId="165" fontId="0" fillId="0" borderId="1" xfId="0" applyNumberFormat="1" applyFill="1" applyBorder="1" applyAlignment="1">
      <alignment horizontal="center"/>
    </xf>
    <xf numFmtId="2" fontId="9" fillId="0" borderId="0" xfId="0" applyNumberFormat="1" applyFont="1" applyAlignment="1">
      <alignment horizontal="center"/>
    </xf>
    <xf numFmtId="165" fontId="0" fillId="0" borderId="29" xfId="0" applyNumberFormat="1" applyFill="1" applyBorder="1" applyAlignment="1">
      <alignment horizontal="center"/>
    </xf>
    <xf numFmtId="166" fontId="0" fillId="0" borderId="29" xfId="0" applyNumberFormat="1" applyBorder="1" applyAlignment="1">
      <alignment horizontal="center"/>
    </xf>
    <xf numFmtId="0" fontId="8" fillId="0" borderId="0" xfId="0" applyFont="1" applyBorder="1" applyAlignment="1">
      <alignment horizontal="center"/>
    </xf>
    <xf numFmtId="2" fontId="0" fillId="0" borderId="0" xfId="0" applyNumberFormat="1"/>
    <xf numFmtId="2" fontId="0" fillId="2" borderId="0" xfId="0" applyNumberFormat="1" applyFill="1" applyAlignment="1">
      <alignment horizontal="right"/>
    </xf>
    <xf numFmtId="2" fontId="0" fillId="0" borderId="0" xfId="0" applyNumberFormat="1" applyAlignment="1">
      <alignment horizontal="right"/>
    </xf>
    <xf numFmtId="0" fontId="0" fillId="2" borderId="0" xfId="0" applyFill="1"/>
    <xf numFmtId="2" fontId="0" fillId="0" borderId="0" xfId="0" applyNumberFormat="1" applyAlignment="1">
      <alignment horizontal="center"/>
    </xf>
    <xf numFmtId="1" fontId="0" fillId="0" borderId="1" xfId="0" applyNumberFormat="1" applyBorder="1"/>
    <xf numFmtId="1" fontId="0" fillId="2" borderId="0" xfId="0" applyNumberFormat="1" applyFill="1" applyAlignment="1">
      <alignment horizontal="right"/>
    </xf>
    <xf numFmtId="177" fontId="0" fillId="0" borderId="0" xfId="0" applyNumberFormat="1" applyFill="1"/>
    <xf numFmtId="0" fontId="8" fillId="0" borderId="0" xfId="0" applyFont="1" applyFill="1" applyAlignment="1">
      <alignment horizontal="right"/>
    </xf>
    <xf numFmtId="2" fontId="0" fillId="0" borderId="0" xfId="0" applyNumberFormat="1" applyFill="1"/>
    <xf numFmtId="0" fontId="0" fillId="0" borderId="0" xfId="0" applyAlignment="1">
      <alignment horizontal="center"/>
    </xf>
    <xf numFmtId="0" fontId="9" fillId="0" borderId="34"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18" xfId="0" applyFont="1" applyBorder="1" applyAlignment="1">
      <alignment horizontal="center" vertical="center"/>
    </xf>
    <xf numFmtId="9" fontId="0" fillId="0" borderId="7" xfId="2" applyFont="1" applyFill="1" applyBorder="1" applyAlignment="1">
      <alignment horizontal="left"/>
    </xf>
    <xf numFmtId="2" fontId="0" fillId="2" borderId="43" xfId="0" applyNumberFormat="1" applyFill="1" applyBorder="1" applyAlignment="1">
      <alignment horizontal="center"/>
    </xf>
    <xf numFmtId="0" fontId="8" fillId="0" borderId="0" xfId="0" applyFont="1" applyBorder="1" applyAlignment="1">
      <alignment horizontal="right"/>
    </xf>
    <xf numFmtId="165" fontId="0" fillId="2" borderId="0" xfId="0" applyNumberFormat="1" applyFill="1" applyBorder="1" applyAlignment="1">
      <alignment horizontal="right"/>
    </xf>
    <xf numFmtId="0" fontId="9" fillId="0" borderId="1" xfId="0" applyFont="1" applyBorder="1" applyAlignment="1">
      <alignment horizontal="center" vertical="center"/>
    </xf>
    <xf numFmtId="1" fontId="0" fillId="2" borderId="0" xfId="0" applyNumberFormat="1" applyFill="1"/>
    <xf numFmtId="170" fontId="0" fillId="2" borderId="0" xfId="0" applyNumberFormat="1" applyFill="1"/>
    <xf numFmtId="9" fontId="8" fillId="0" borderId="0" xfId="2" applyFont="1" applyFill="1" applyBorder="1" applyAlignment="1">
      <alignment horizontal="left"/>
    </xf>
    <xf numFmtId="178" fontId="8" fillId="0" borderId="0" xfId="2" applyNumberFormat="1" applyFont="1" applyFill="1" applyBorder="1" applyAlignment="1">
      <alignment horizontal="left"/>
    </xf>
    <xf numFmtId="0" fontId="11" fillId="0" borderId="0" xfId="0" applyFont="1" applyAlignment="1">
      <alignment horizontal="right"/>
    </xf>
    <xf numFmtId="0" fontId="8" fillId="0" borderId="0" xfId="0" applyFont="1" applyAlignment="1">
      <alignment horizontal="center"/>
    </xf>
    <xf numFmtId="175" fontId="0" fillId="0" borderId="0" xfId="0" applyNumberFormat="1"/>
    <xf numFmtId="2" fontId="0" fillId="0" borderId="29" xfId="0" applyNumberFormat="1" applyFill="1" applyBorder="1" applyAlignment="1">
      <alignment horizontal="center"/>
    </xf>
    <xf numFmtId="170" fontId="9" fillId="0" borderId="0" xfId="2" applyNumberFormat="1" applyFont="1" applyFill="1" applyBorder="1" applyAlignment="1">
      <alignment horizontal="left"/>
    </xf>
    <xf numFmtId="9" fontId="8" fillId="0" borderId="0" xfId="2" applyFont="1" applyFill="1" applyBorder="1" applyAlignment="1">
      <alignment horizontal="center"/>
    </xf>
    <xf numFmtId="9" fontId="8" fillId="0" borderId="0" xfId="2" applyFont="1" applyFill="1" applyBorder="1" applyAlignment="1">
      <alignment horizontal="right"/>
    </xf>
    <xf numFmtId="170" fontId="9" fillId="4" borderId="0" xfId="2" applyNumberFormat="1" applyFont="1" applyFill="1" applyBorder="1" applyAlignment="1">
      <alignment horizontal="left"/>
    </xf>
    <xf numFmtId="0" fontId="8" fillId="0" borderId="0" xfId="0" applyFont="1" applyAlignment="1">
      <alignment horizontal="left"/>
    </xf>
    <xf numFmtId="1" fontId="0" fillId="0" borderId="0" xfId="0" applyNumberFormat="1" applyBorder="1" applyAlignment="1">
      <alignment horizontal="center"/>
    </xf>
    <xf numFmtId="0" fontId="11" fillId="0" borderId="0" xfId="0" applyFont="1"/>
    <xf numFmtId="2" fontId="11" fillId="0" borderId="0" xfId="0" applyNumberFormat="1" applyFont="1" applyBorder="1" applyAlignment="1">
      <alignment horizontal="right" wrapText="1"/>
    </xf>
    <xf numFmtId="2" fontId="0" fillId="0" borderId="29" xfId="0" applyNumberFormat="1" applyBorder="1" applyAlignment="1">
      <alignment horizontal="center"/>
    </xf>
    <xf numFmtId="1" fontId="0" fillId="0" borderId="0" xfId="0" applyNumberFormat="1" applyFill="1" applyBorder="1"/>
    <xf numFmtId="1" fontId="9" fillId="0" borderId="49" xfId="0" applyNumberFormat="1" applyFont="1" applyBorder="1"/>
    <xf numFmtId="0" fontId="0" fillId="0" borderId="0" xfId="0" applyAlignment="1"/>
    <xf numFmtId="0" fontId="9" fillId="0" borderId="0" xfId="0" applyFont="1" applyAlignment="1">
      <alignment horizontal="center"/>
    </xf>
    <xf numFmtId="0" fontId="0" fillId="0" borderId="0" xfId="0" applyAlignment="1">
      <alignment horizontal="center"/>
    </xf>
    <xf numFmtId="0" fontId="17" fillId="0" borderId="0" xfId="4" applyAlignment="1"/>
    <xf numFmtId="0" fontId="17" fillId="0" borderId="0" xfId="4"/>
    <xf numFmtId="0" fontId="17" fillId="0" borderId="0" xfId="4" applyFill="1" applyAlignment="1">
      <alignment horizontal="center"/>
    </xf>
    <xf numFmtId="0" fontId="17" fillId="0" borderId="0" xfId="4" applyAlignment="1">
      <alignment horizontal="right"/>
    </xf>
    <xf numFmtId="0" fontId="17" fillId="2" borderId="0" xfId="4" applyFill="1" applyAlignment="1"/>
    <xf numFmtId="16" fontId="17" fillId="2" borderId="0" xfId="4" applyNumberFormat="1" applyFill="1" applyAlignment="1"/>
    <xf numFmtId="0" fontId="19" fillId="0" borderId="0" xfId="4" applyFont="1" applyAlignment="1">
      <alignment horizontal="center"/>
    </xf>
    <xf numFmtId="0" fontId="17" fillId="2" borderId="0" xfId="4" applyFill="1" applyAlignment="1">
      <alignment horizontal="center"/>
    </xf>
    <xf numFmtId="0" fontId="17" fillId="0" borderId="0" xfId="4" applyAlignment="1">
      <alignment horizontal="center"/>
    </xf>
    <xf numFmtId="0" fontId="17" fillId="0" borderId="0" xfId="4" applyBorder="1" applyAlignment="1">
      <alignment horizontal="right"/>
    </xf>
    <xf numFmtId="1" fontId="17" fillId="0" borderId="0" xfId="4" applyNumberFormat="1" applyFill="1" applyAlignment="1">
      <alignment horizontal="center"/>
    </xf>
    <xf numFmtId="0" fontId="20" fillId="0" borderId="0" xfId="4" applyFont="1"/>
    <xf numFmtId="2" fontId="17" fillId="2" borderId="0" xfId="4" applyNumberFormat="1" applyFill="1"/>
    <xf numFmtId="2" fontId="17" fillId="0" borderId="0" xfId="4" applyNumberFormat="1"/>
    <xf numFmtId="0" fontId="22" fillId="0" borderId="0" xfId="4" applyFont="1"/>
    <xf numFmtId="0" fontId="17" fillId="2" borderId="0" xfId="4" applyFill="1"/>
    <xf numFmtId="170" fontId="17" fillId="0" borderId="0" xfId="4" applyNumberFormat="1"/>
    <xf numFmtId="179" fontId="17" fillId="0" borderId="0" xfId="4" applyNumberFormat="1"/>
    <xf numFmtId="177" fontId="17" fillId="0" borderId="0" xfId="4" applyNumberFormat="1"/>
    <xf numFmtId="0" fontId="17" fillId="0" borderId="18" xfId="4" applyBorder="1"/>
    <xf numFmtId="0" fontId="17" fillId="0" borderId="38" xfId="4" applyBorder="1"/>
    <xf numFmtId="0" fontId="17" fillId="0" borderId="38" xfId="4" applyBorder="1" applyAlignment="1">
      <alignment horizontal="right"/>
    </xf>
    <xf numFmtId="177" fontId="17" fillId="0" borderId="38" xfId="4" applyNumberFormat="1" applyBorder="1"/>
    <xf numFmtId="179" fontId="17" fillId="0" borderId="43" xfId="4" applyNumberFormat="1" applyBorder="1"/>
    <xf numFmtId="0" fontId="17" fillId="0" borderId="0" xfId="4" applyFont="1"/>
    <xf numFmtId="0" fontId="17" fillId="0" borderId="18" xfId="4" applyFont="1" applyBorder="1"/>
    <xf numFmtId="177" fontId="17" fillId="0" borderId="0" xfId="4" applyNumberFormat="1" applyAlignment="1">
      <alignment horizontal="center"/>
    </xf>
    <xf numFmtId="177" fontId="17" fillId="2" borderId="24" xfId="4" applyNumberFormat="1" applyFill="1" applyBorder="1"/>
    <xf numFmtId="0" fontId="17" fillId="0" borderId="48" xfId="4" applyBorder="1"/>
    <xf numFmtId="177" fontId="17" fillId="0" borderId="24" xfId="4" applyNumberFormat="1" applyBorder="1"/>
    <xf numFmtId="177" fontId="17" fillId="0" borderId="24" xfId="4" applyNumberFormat="1" applyFill="1" applyBorder="1"/>
    <xf numFmtId="0" fontId="17" fillId="0" borderId="48" xfId="4" applyFill="1" applyBorder="1"/>
    <xf numFmtId="0" fontId="17" fillId="0" borderId="48" xfId="4" applyBorder="1" applyAlignment="1">
      <alignment horizontal="right"/>
    </xf>
    <xf numFmtId="0" fontId="17" fillId="0" borderId="7" xfId="4" applyBorder="1"/>
    <xf numFmtId="0" fontId="17" fillId="0" borderId="52" xfId="4" applyBorder="1"/>
    <xf numFmtId="1" fontId="17" fillId="0" borderId="1" xfId="4" applyNumberFormat="1" applyBorder="1" applyAlignment="1">
      <alignment horizontal="center"/>
    </xf>
    <xf numFmtId="0" fontId="19" fillId="0" borderId="0" xfId="4" applyFont="1" applyBorder="1" applyAlignment="1">
      <alignment horizontal="right"/>
    </xf>
    <xf numFmtId="177" fontId="19" fillId="0" borderId="0" xfId="4" applyNumberFormat="1" applyFont="1" applyBorder="1" applyAlignment="1">
      <alignment horizontal="center"/>
    </xf>
    <xf numFmtId="0" fontId="19" fillId="0" borderId="0" xfId="4" applyFont="1" applyBorder="1" applyAlignment="1">
      <alignment horizontal="center"/>
    </xf>
    <xf numFmtId="0" fontId="17" fillId="0" borderId="56" xfId="4" applyBorder="1" applyAlignment="1"/>
    <xf numFmtId="0" fontId="17" fillId="0" borderId="57" xfId="4" applyBorder="1" applyAlignment="1"/>
    <xf numFmtId="0" fontId="17" fillId="0" borderId="58" xfId="4" applyBorder="1" applyAlignment="1"/>
    <xf numFmtId="0" fontId="20" fillId="0" borderId="0" xfId="4" applyFont="1" applyAlignment="1"/>
    <xf numFmtId="0" fontId="17" fillId="0" borderId="12" xfId="4" applyBorder="1" applyAlignment="1">
      <alignment horizontal="center"/>
    </xf>
    <xf numFmtId="0" fontId="17" fillId="0" borderId="26" xfId="4" applyBorder="1" applyAlignment="1">
      <alignment horizontal="center"/>
    </xf>
    <xf numFmtId="0" fontId="17" fillId="0" borderId="7" xfId="4" applyBorder="1" applyAlignment="1">
      <alignment horizontal="right"/>
    </xf>
    <xf numFmtId="179" fontId="17" fillId="0" borderId="52" xfId="4" applyNumberFormat="1" applyBorder="1" applyAlignment="1">
      <alignment horizontal="left"/>
    </xf>
    <xf numFmtId="180" fontId="17" fillId="0" borderId="2" xfId="4" applyNumberFormat="1" applyBorder="1" applyAlignment="1">
      <alignment horizontal="center"/>
    </xf>
    <xf numFmtId="181" fontId="17" fillId="0" borderId="2" xfId="4" applyNumberFormat="1" applyBorder="1" applyAlignment="1">
      <alignment horizontal="center"/>
    </xf>
    <xf numFmtId="181" fontId="17" fillId="0" borderId="4" xfId="4" applyNumberFormat="1" applyBorder="1" applyAlignment="1">
      <alignment horizontal="center"/>
    </xf>
    <xf numFmtId="0" fontId="17" fillId="0" borderId="18" xfId="4" applyBorder="1" applyAlignment="1">
      <alignment horizontal="right"/>
    </xf>
    <xf numFmtId="179" fontId="17" fillId="0" borderId="43" xfId="4" applyNumberFormat="1" applyBorder="1" applyAlignment="1">
      <alignment horizontal="left"/>
    </xf>
    <xf numFmtId="180" fontId="17" fillId="0" borderId="1" xfId="4" applyNumberFormat="1" applyBorder="1" applyAlignment="1">
      <alignment horizontal="center"/>
    </xf>
    <xf numFmtId="181" fontId="17" fillId="0" borderId="1" xfId="4" applyNumberFormat="1" applyBorder="1" applyAlignment="1">
      <alignment horizontal="center"/>
    </xf>
    <xf numFmtId="181" fontId="17" fillId="0" borderId="33" xfId="4" applyNumberFormat="1" applyBorder="1" applyAlignment="1">
      <alignment horizontal="center"/>
    </xf>
    <xf numFmtId="0" fontId="17" fillId="0" borderId="28" xfId="4" applyBorder="1" applyAlignment="1">
      <alignment horizontal="right"/>
    </xf>
    <xf numFmtId="179" fontId="17" fillId="0" borderId="60" xfId="4" applyNumberFormat="1" applyBorder="1" applyAlignment="1">
      <alignment horizontal="left"/>
    </xf>
    <xf numFmtId="180" fontId="17" fillId="0" borderId="31" xfId="4" applyNumberFormat="1" applyBorder="1" applyAlignment="1">
      <alignment horizontal="center"/>
    </xf>
    <xf numFmtId="181" fontId="17" fillId="0" borderId="31" xfId="4" applyNumberFormat="1" applyBorder="1" applyAlignment="1">
      <alignment horizontal="center"/>
    </xf>
    <xf numFmtId="181" fontId="17" fillId="0" borderId="32" xfId="4" applyNumberFormat="1" applyBorder="1" applyAlignment="1">
      <alignment horizontal="center"/>
    </xf>
    <xf numFmtId="0" fontId="17" fillId="0" borderId="0" xfId="4" applyBorder="1"/>
    <xf numFmtId="0" fontId="26" fillId="0" borderId="0" xfId="4" applyFont="1"/>
    <xf numFmtId="0" fontId="17" fillId="0" borderId="25" xfId="4" applyBorder="1" applyAlignment="1">
      <alignment horizontal="center"/>
    </xf>
    <xf numFmtId="177" fontId="17" fillId="0" borderId="33" xfId="4" applyNumberFormat="1" applyBorder="1" applyAlignment="1">
      <alignment horizontal="center"/>
    </xf>
    <xf numFmtId="177" fontId="17" fillId="0" borderId="36" xfId="4" applyNumberFormat="1" applyBorder="1" applyAlignment="1">
      <alignment horizontal="center"/>
    </xf>
    <xf numFmtId="0" fontId="27" fillId="0" borderId="0" xfId="4" applyFont="1"/>
    <xf numFmtId="9" fontId="17" fillId="2" borderId="0" xfId="4" applyNumberFormat="1" applyFill="1" applyAlignment="1">
      <alignment horizontal="center"/>
    </xf>
    <xf numFmtId="180" fontId="17" fillId="0" borderId="0" xfId="4" applyNumberFormat="1" applyAlignment="1">
      <alignment horizontal="center"/>
    </xf>
    <xf numFmtId="179" fontId="17" fillId="0" borderId="0" xfId="4" applyNumberFormat="1" applyAlignment="1">
      <alignment horizontal="center"/>
    </xf>
    <xf numFmtId="179" fontId="27" fillId="0" borderId="0" xfId="4" applyNumberFormat="1" applyFont="1" applyAlignment="1">
      <alignment horizontal="left"/>
    </xf>
    <xf numFmtId="0" fontId="24" fillId="0" borderId="0" xfId="4" applyFont="1" applyAlignment="1">
      <alignment horizontal="right"/>
    </xf>
    <xf numFmtId="179" fontId="17" fillId="0" borderId="0" xfId="4" applyNumberFormat="1" applyAlignment="1">
      <alignment horizontal="left"/>
    </xf>
    <xf numFmtId="0" fontId="17" fillId="0" borderId="0" xfId="4" applyAlignment="1">
      <alignment horizontal="left"/>
    </xf>
    <xf numFmtId="177" fontId="17" fillId="2" borderId="0" xfId="4" applyNumberFormat="1" applyFill="1" applyAlignment="1">
      <alignment horizontal="right"/>
    </xf>
    <xf numFmtId="177" fontId="17" fillId="0" borderId="0" xfId="4" applyNumberFormat="1" applyAlignment="1">
      <alignment horizontal="right"/>
    </xf>
    <xf numFmtId="2" fontId="17" fillId="0" borderId="0" xfId="4" applyNumberFormat="1" applyAlignment="1">
      <alignment horizontal="center"/>
    </xf>
    <xf numFmtId="0" fontId="17" fillId="0" borderId="0" xfId="4" applyBorder="1" applyAlignment="1">
      <alignment horizontal="center"/>
    </xf>
    <xf numFmtId="177" fontId="17" fillId="0" borderId="0" xfId="4" applyNumberFormat="1" applyBorder="1" applyAlignment="1">
      <alignment horizontal="center"/>
    </xf>
    <xf numFmtId="177" fontId="17" fillId="0" borderId="2" xfId="4" applyNumberFormat="1" applyFill="1" applyBorder="1" applyAlignment="1">
      <alignment horizontal="center"/>
    </xf>
    <xf numFmtId="177" fontId="17" fillId="0" borderId="1" xfId="4" applyNumberFormat="1" applyFill="1" applyBorder="1" applyAlignment="1">
      <alignment horizontal="center"/>
    </xf>
    <xf numFmtId="177" fontId="17" fillId="2" borderId="1" xfId="4" applyNumberFormat="1" applyFill="1" applyBorder="1" applyAlignment="1">
      <alignment horizontal="center"/>
    </xf>
    <xf numFmtId="179" fontId="17" fillId="0" borderId="79" xfId="4" applyNumberFormat="1" applyBorder="1" applyAlignment="1">
      <alignment horizontal="left"/>
    </xf>
    <xf numFmtId="177" fontId="17" fillId="2" borderId="44" xfId="4" applyNumberFormat="1" applyFill="1" applyBorder="1" applyAlignment="1">
      <alignment horizontal="center"/>
    </xf>
    <xf numFmtId="180" fontId="17" fillId="0" borderId="44" xfId="4" applyNumberFormat="1" applyBorder="1" applyAlignment="1">
      <alignment horizontal="center"/>
    </xf>
    <xf numFmtId="181" fontId="17" fillId="0" borderId="44" xfId="4" applyNumberFormat="1" applyBorder="1" applyAlignment="1">
      <alignment horizontal="center"/>
    </xf>
    <xf numFmtId="181" fontId="17" fillId="0" borderId="80" xfId="4" applyNumberFormat="1" applyBorder="1" applyAlignment="1">
      <alignment horizontal="center"/>
    </xf>
    <xf numFmtId="0" fontId="17" fillId="0" borderId="30" xfId="4" applyBorder="1" applyAlignment="1">
      <alignment horizontal="right"/>
    </xf>
    <xf numFmtId="179" fontId="17" fillId="0" borderId="72" xfId="4" applyNumberFormat="1" applyBorder="1" applyAlignment="1">
      <alignment horizontal="left"/>
    </xf>
    <xf numFmtId="177" fontId="17" fillId="0" borderId="29" xfId="4" applyNumberFormat="1" applyFill="1" applyBorder="1" applyAlignment="1">
      <alignment horizontal="center"/>
    </xf>
    <xf numFmtId="180" fontId="17" fillId="0" borderId="29" xfId="4" applyNumberFormat="1" applyBorder="1" applyAlignment="1">
      <alignment horizontal="center"/>
    </xf>
    <xf numFmtId="181" fontId="17" fillId="0" borderId="29" xfId="4" applyNumberFormat="1" applyBorder="1" applyAlignment="1">
      <alignment horizontal="center"/>
    </xf>
    <xf numFmtId="181" fontId="17" fillId="0" borderId="36" xfId="4" applyNumberFormat="1" applyBorder="1" applyAlignment="1">
      <alignment horizontal="center"/>
    </xf>
    <xf numFmtId="0" fontId="17" fillId="0" borderId="0" xfId="4" applyFill="1"/>
    <xf numFmtId="0" fontId="17" fillId="0" borderId="0" xfId="4" applyAlignment="1">
      <alignment horizontal="left" wrapText="1"/>
    </xf>
    <xf numFmtId="0" fontId="17" fillId="0" borderId="0" xfId="4" applyAlignment="1">
      <alignment horizontal="center" wrapText="1"/>
    </xf>
    <xf numFmtId="0" fontId="17" fillId="0" borderId="0" xfId="4" applyFill="1" applyBorder="1" applyAlignment="1"/>
    <xf numFmtId="0" fontId="19" fillId="0" borderId="0" xfId="4" applyFont="1" applyFill="1" applyBorder="1" applyAlignment="1">
      <alignment horizontal="center"/>
    </xf>
    <xf numFmtId="0" fontId="17" fillId="0" borderId="0" xfId="4" applyFill="1" applyBorder="1" applyAlignment="1">
      <alignment horizontal="center"/>
    </xf>
    <xf numFmtId="0" fontId="17" fillId="0" borderId="0" xfId="4" applyFill="1" applyBorder="1" applyAlignment="1">
      <alignment horizontal="center" vertical="center"/>
    </xf>
    <xf numFmtId="0" fontId="17" fillId="0" borderId="3" xfId="4" applyBorder="1" applyAlignment="1">
      <alignment horizontal="right"/>
    </xf>
    <xf numFmtId="180" fontId="17" fillId="0" borderId="2" xfId="4" applyNumberFormat="1" applyBorder="1"/>
    <xf numFmtId="0" fontId="17" fillId="0" borderId="2" xfId="4" applyBorder="1" applyAlignment="1">
      <alignment horizontal="right"/>
    </xf>
    <xf numFmtId="181" fontId="17" fillId="0" borderId="4" xfId="4" applyNumberFormat="1" applyBorder="1"/>
    <xf numFmtId="0" fontId="17" fillId="0" borderId="52" xfId="4" applyBorder="1" applyAlignment="1">
      <alignment horizontal="right"/>
    </xf>
    <xf numFmtId="0" fontId="17" fillId="0" borderId="0" xfId="4" applyFill="1" applyBorder="1" applyAlignment="1">
      <alignment horizontal="right"/>
    </xf>
    <xf numFmtId="180" fontId="17" fillId="0" borderId="0" xfId="4" applyNumberFormat="1" applyFill="1" applyBorder="1" applyAlignment="1"/>
    <xf numFmtId="181" fontId="17" fillId="0" borderId="0" xfId="4" applyNumberFormat="1" applyFill="1" applyBorder="1" applyAlignment="1"/>
    <xf numFmtId="1" fontId="17" fillId="0" borderId="0" xfId="4" applyNumberFormat="1" applyFill="1" applyBorder="1" applyAlignment="1">
      <alignment horizontal="center"/>
    </xf>
    <xf numFmtId="0" fontId="17" fillId="0" borderId="65" xfId="4" applyBorder="1" applyAlignment="1">
      <alignment horizontal="right"/>
    </xf>
    <xf numFmtId="180" fontId="17" fillId="0" borderId="1" xfId="4" applyNumberFormat="1" applyBorder="1"/>
    <xf numFmtId="0" fontId="17" fillId="0" borderId="1" xfId="4" applyBorder="1" applyAlignment="1">
      <alignment horizontal="right"/>
    </xf>
    <xf numFmtId="181" fontId="17" fillId="0" borderId="33" xfId="4" applyNumberFormat="1" applyBorder="1"/>
    <xf numFmtId="0" fontId="17" fillId="0" borderId="43" xfId="4" applyBorder="1" applyAlignment="1">
      <alignment horizontal="right"/>
    </xf>
    <xf numFmtId="0" fontId="17" fillId="5" borderId="65" xfId="4" applyFill="1" applyBorder="1" applyAlignment="1">
      <alignment horizontal="right"/>
    </xf>
    <xf numFmtId="0" fontId="17" fillId="5" borderId="1" xfId="4" applyFill="1" applyBorder="1"/>
    <xf numFmtId="0" fontId="17" fillId="5" borderId="43" xfId="4" applyFill="1" applyBorder="1"/>
    <xf numFmtId="0" fontId="17" fillId="5" borderId="65" xfId="4" applyFill="1" applyBorder="1"/>
    <xf numFmtId="0" fontId="17" fillId="5" borderId="35" xfId="4" applyFill="1" applyBorder="1"/>
    <xf numFmtId="0" fontId="17" fillId="5" borderId="29" xfId="4" applyFill="1" applyBorder="1"/>
    <xf numFmtId="0" fontId="17" fillId="0" borderId="29" xfId="4" applyBorder="1" applyAlignment="1">
      <alignment horizontal="right"/>
    </xf>
    <xf numFmtId="181" fontId="17" fillId="0" borderId="36" xfId="4" applyNumberFormat="1" applyBorder="1"/>
    <xf numFmtId="0" fontId="17" fillId="5" borderId="72" xfId="4" applyFill="1" applyBorder="1"/>
    <xf numFmtId="2" fontId="17" fillId="0" borderId="0" xfId="4" applyNumberFormat="1" applyFill="1" applyBorder="1" applyAlignment="1">
      <alignment horizontal="center"/>
    </xf>
    <xf numFmtId="2" fontId="17" fillId="0" borderId="0" xfId="4" applyNumberFormat="1" applyFill="1"/>
    <xf numFmtId="183" fontId="17" fillId="0" borderId="0" xfId="4" applyNumberFormat="1" applyFill="1" applyBorder="1" applyAlignment="1">
      <alignment horizontal="left"/>
    </xf>
    <xf numFmtId="0" fontId="17" fillId="0" borderId="29" xfId="4" applyBorder="1"/>
    <xf numFmtId="0" fontId="17" fillId="0" borderId="36" xfId="4" applyBorder="1"/>
    <xf numFmtId="0" fontId="17" fillId="0" borderId="3" xfId="4" applyBorder="1"/>
    <xf numFmtId="183" fontId="17" fillId="0" borderId="2" xfId="4" applyNumberFormat="1" applyBorder="1"/>
    <xf numFmtId="179" fontId="17" fillId="0" borderId="2" xfId="4" applyNumberFormat="1" applyBorder="1" applyAlignment="1">
      <alignment horizontal="center"/>
    </xf>
    <xf numFmtId="184" fontId="17" fillId="0" borderId="2" xfId="4" applyNumberFormat="1" applyBorder="1" applyAlignment="1">
      <alignment horizontal="center"/>
    </xf>
    <xf numFmtId="183" fontId="17" fillId="0" borderId="2" xfId="4" applyNumberFormat="1" applyBorder="1" applyAlignment="1">
      <alignment horizontal="center"/>
    </xf>
    <xf numFmtId="183" fontId="17" fillId="0" borderId="4" xfId="4" applyNumberFormat="1" applyBorder="1" applyAlignment="1">
      <alignment horizontal="center"/>
    </xf>
    <xf numFmtId="0" fontId="29" fillId="0" borderId="0" xfId="4" applyFont="1" applyAlignment="1">
      <alignment horizontal="right"/>
    </xf>
    <xf numFmtId="0" fontId="29" fillId="0" borderId="0" xfId="4" applyFont="1"/>
    <xf numFmtId="0" fontId="17" fillId="0" borderId="65" xfId="4" applyBorder="1"/>
    <xf numFmtId="183" fontId="17" fillId="0" borderId="1" xfId="4" applyNumberFormat="1" applyBorder="1"/>
    <xf numFmtId="179" fontId="17" fillId="0" borderId="1" xfId="4" applyNumberFormat="1" applyBorder="1" applyAlignment="1">
      <alignment horizontal="center"/>
    </xf>
    <xf numFmtId="184" fontId="17" fillId="0" borderId="1" xfId="4" applyNumberFormat="1" applyBorder="1" applyAlignment="1">
      <alignment horizontal="center"/>
    </xf>
    <xf numFmtId="183" fontId="17" fillId="0" borderId="1" xfId="4" applyNumberFormat="1" applyBorder="1" applyAlignment="1">
      <alignment horizontal="center"/>
    </xf>
    <xf numFmtId="183" fontId="17" fillId="0" borderId="33" xfId="4" applyNumberFormat="1" applyBorder="1" applyAlignment="1">
      <alignment horizontal="center"/>
    </xf>
    <xf numFmtId="179" fontId="17" fillId="0" borderId="1" xfId="4" applyNumberFormat="1" applyBorder="1"/>
    <xf numFmtId="184" fontId="17" fillId="0" borderId="1" xfId="4" applyNumberFormat="1" applyBorder="1"/>
    <xf numFmtId="183" fontId="17" fillId="0" borderId="33" xfId="4" applyNumberFormat="1" applyBorder="1"/>
    <xf numFmtId="0" fontId="17" fillId="0" borderId="35" xfId="4" applyBorder="1"/>
    <xf numFmtId="183" fontId="17" fillId="0" borderId="29" xfId="4" applyNumberFormat="1" applyBorder="1"/>
    <xf numFmtId="179" fontId="17" fillId="0" borderId="29" xfId="4" applyNumberFormat="1" applyBorder="1" applyAlignment="1">
      <alignment horizontal="center"/>
    </xf>
    <xf numFmtId="184" fontId="17" fillId="0" borderId="29" xfId="4" applyNumberFormat="1" applyBorder="1" applyAlignment="1">
      <alignment horizontal="center"/>
    </xf>
    <xf numFmtId="183" fontId="17" fillId="0" borderId="29" xfId="4" applyNumberFormat="1" applyBorder="1" applyAlignment="1">
      <alignment horizontal="center"/>
    </xf>
    <xf numFmtId="183" fontId="17" fillId="0" borderId="36" xfId="4" applyNumberFormat="1" applyBorder="1" applyAlignment="1">
      <alignment horizontal="center"/>
    </xf>
    <xf numFmtId="0" fontId="17" fillId="0" borderId="44" xfId="4" applyBorder="1"/>
    <xf numFmtId="0" fontId="17" fillId="0" borderId="80" xfId="4" applyBorder="1"/>
    <xf numFmtId="0" fontId="17" fillId="0" borderId="13" xfId="4" applyBorder="1"/>
    <xf numFmtId="183" fontId="17" fillId="0" borderId="11" xfId="4" applyNumberFormat="1" applyBorder="1"/>
    <xf numFmtId="179" fontId="17" fillId="0" borderId="11" xfId="4" applyNumberFormat="1" applyBorder="1" applyAlignment="1">
      <alignment horizontal="center"/>
    </xf>
    <xf numFmtId="184" fontId="17" fillId="0" borderId="11" xfId="4" applyNumberFormat="1" applyBorder="1" applyAlignment="1">
      <alignment horizontal="center"/>
    </xf>
    <xf numFmtId="183" fontId="17" fillId="0" borderId="11" xfId="4" applyNumberFormat="1" applyBorder="1" applyAlignment="1">
      <alignment horizontal="center"/>
    </xf>
    <xf numFmtId="183" fontId="17" fillId="0" borderId="25" xfId="4" applyNumberFormat="1" applyBorder="1" applyAlignment="1">
      <alignment horizontal="center"/>
    </xf>
    <xf numFmtId="0" fontId="17" fillId="0" borderId="1" xfId="4" applyBorder="1"/>
    <xf numFmtId="0" fontId="17" fillId="0" borderId="0" xfId="4" quotePrefix="1" applyFont="1"/>
    <xf numFmtId="0" fontId="17" fillId="0" borderId="66" xfId="4" applyFont="1" applyBorder="1" applyAlignment="1">
      <alignment horizontal="center"/>
    </xf>
    <xf numFmtId="0" fontId="17" fillId="0" borderId="67" xfId="4" applyBorder="1" applyAlignment="1">
      <alignment horizontal="center"/>
    </xf>
    <xf numFmtId="0" fontId="17" fillId="0" borderId="0" xfId="4" applyBorder="1" applyAlignment="1"/>
    <xf numFmtId="0" fontId="17" fillId="0" borderId="2" xfId="4" applyBorder="1" applyAlignment="1">
      <alignment horizontal="center"/>
    </xf>
    <xf numFmtId="0" fontId="32" fillId="0" borderId="52" xfId="4" applyFont="1" applyBorder="1" applyAlignment="1">
      <alignment horizontal="left"/>
    </xf>
    <xf numFmtId="0" fontId="32" fillId="0" borderId="2" xfId="4" applyFont="1" applyBorder="1" applyAlignment="1">
      <alignment horizontal="left"/>
    </xf>
    <xf numFmtId="0" fontId="32" fillId="0" borderId="4" xfId="4" applyFont="1" applyBorder="1" applyAlignment="1">
      <alignment horizontal="left"/>
    </xf>
    <xf numFmtId="0" fontId="32" fillId="0" borderId="0" xfId="4" applyFont="1" applyBorder="1" applyAlignment="1">
      <alignment horizontal="left"/>
    </xf>
    <xf numFmtId="0" fontId="17" fillId="0" borderId="0" xfId="4" applyBorder="1" applyAlignment="1">
      <alignment horizontal="left"/>
    </xf>
    <xf numFmtId="0" fontId="17" fillId="0" borderId="1" xfId="4" applyBorder="1" applyAlignment="1">
      <alignment horizontal="center"/>
    </xf>
    <xf numFmtId="0" fontId="32" fillId="0" borderId="43" xfId="4" applyFont="1" applyBorder="1" applyAlignment="1">
      <alignment horizontal="left"/>
    </xf>
    <xf numFmtId="0" fontId="32" fillId="0" borderId="38" xfId="4" applyFont="1" applyBorder="1" applyAlignment="1"/>
    <xf numFmtId="0" fontId="32" fillId="0" borderId="82" xfId="4" applyFont="1" applyBorder="1" applyAlignment="1"/>
    <xf numFmtId="0" fontId="32" fillId="0" borderId="0" xfId="4" applyFont="1" applyBorder="1" applyAlignment="1"/>
    <xf numFmtId="0" fontId="17" fillId="0" borderId="29" xfId="4" applyBorder="1" applyAlignment="1">
      <alignment horizontal="center"/>
    </xf>
    <xf numFmtId="0" fontId="32" fillId="0" borderId="72" xfId="4" applyFont="1" applyBorder="1" applyAlignment="1">
      <alignment horizontal="left"/>
    </xf>
    <xf numFmtId="0" fontId="32" fillId="0" borderId="71" xfId="4" applyFont="1" applyBorder="1" applyAlignment="1"/>
    <xf numFmtId="0" fontId="32" fillId="0" borderId="83" xfId="4" applyFont="1" applyBorder="1" applyAlignment="1"/>
    <xf numFmtId="0" fontId="0" fillId="0" borderId="23" xfId="0" applyBorder="1"/>
    <xf numFmtId="0" fontId="0" fillId="0" borderId="0" xfId="0" applyFill="1" applyAlignment="1">
      <alignment horizontal="center"/>
    </xf>
    <xf numFmtId="2" fontId="0" fillId="0" borderId="0" xfId="0" applyNumberFormat="1" applyFill="1" applyAlignment="1">
      <alignment horizontal="center"/>
    </xf>
    <xf numFmtId="0" fontId="8" fillId="0" borderId="0" xfId="0" applyFont="1" applyFill="1" applyAlignment="1">
      <alignment horizontal="center"/>
    </xf>
    <xf numFmtId="177" fontId="0" fillId="0" borderId="0" xfId="0" applyNumberFormat="1" applyAlignment="1">
      <alignment horizontal="center"/>
    </xf>
    <xf numFmtId="177" fontId="0" fillId="0" borderId="0" xfId="0" applyNumberFormat="1" applyFill="1" applyAlignment="1">
      <alignment horizontal="center"/>
    </xf>
    <xf numFmtId="0" fontId="33" fillId="0" borderId="0" xfId="0" applyFont="1"/>
    <xf numFmtId="0" fontId="34" fillId="0" borderId="0" xfId="0" applyFont="1"/>
    <xf numFmtId="0" fontId="15" fillId="0" borderId="0" xfId="0" applyFont="1" applyFill="1" applyAlignment="1">
      <alignment horizontal="center"/>
    </xf>
    <xf numFmtId="0" fontId="15" fillId="0" borderId="0" xfId="0" applyFont="1" applyAlignment="1">
      <alignment horizontal="center"/>
    </xf>
    <xf numFmtId="0" fontId="8" fillId="0" borderId="0" xfId="0" quotePrefix="1" applyFont="1" applyAlignment="1">
      <alignment horizontal="center"/>
    </xf>
    <xf numFmtId="0" fontId="15" fillId="0" borderId="0" xfId="0" applyFont="1"/>
    <xf numFmtId="1" fontId="0" fillId="0" borderId="0" xfId="0" applyNumberFormat="1" applyAlignment="1">
      <alignment horizontal="center"/>
    </xf>
    <xf numFmtId="3" fontId="0" fillId="0" borderId="0" xfId="0" applyNumberFormat="1" applyAlignment="1">
      <alignment horizontal="center"/>
    </xf>
    <xf numFmtId="0" fontId="0" fillId="0" borderId="23" xfId="0" applyBorder="1" applyAlignment="1">
      <alignment horizontal="center"/>
    </xf>
    <xf numFmtId="0" fontId="9" fillId="0" borderId="23" xfId="0" applyFont="1" applyFill="1" applyBorder="1" applyAlignment="1">
      <alignment horizontal="center"/>
    </xf>
    <xf numFmtId="3" fontId="0" fillId="0" borderId="49" xfId="0" applyNumberFormat="1" applyFill="1" applyBorder="1" applyAlignment="1">
      <alignment horizontal="center"/>
    </xf>
    <xf numFmtId="1" fontId="0" fillId="0" borderId="49" xfId="0" applyNumberFormat="1" applyFill="1" applyBorder="1" applyAlignment="1">
      <alignment horizontal="center"/>
    </xf>
    <xf numFmtId="1" fontId="9" fillId="0" borderId="49" xfId="0" applyNumberFormat="1" applyFont="1" applyBorder="1" applyAlignment="1">
      <alignment horizontal="center"/>
    </xf>
    <xf numFmtId="1" fontId="0" fillId="0" borderId="0" xfId="0" applyNumberFormat="1" applyFill="1" applyBorder="1" applyAlignment="1">
      <alignment horizontal="center"/>
    </xf>
    <xf numFmtId="0" fontId="8" fillId="0" borderId="0" xfId="0" applyFont="1" applyFill="1" applyBorder="1" applyAlignment="1">
      <alignment horizontal="left"/>
    </xf>
    <xf numFmtId="0" fontId="10" fillId="0" borderId="0" xfId="0" applyFont="1" applyAlignment="1">
      <alignment horizontal="center"/>
    </xf>
    <xf numFmtId="3" fontId="9" fillId="0" borderId="49" xfId="0" applyNumberFormat="1" applyFont="1" applyBorder="1" applyAlignment="1">
      <alignment horizontal="center"/>
    </xf>
    <xf numFmtId="177" fontId="0" fillId="0" borderId="0" xfId="0" applyNumberFormat="1" applyFill="1" applyBorder="1" applyAlignment="1">
      <alignment horizontal="center"/>
    </xf>
    <xf numFmtId="0" fontId="8" fillId="0" borderId="0" xfId="0" applyFont="1" applyBorder="1"/>
    <xf numFmtId="0" fontId="8" fillId="0" borderId="23" xfId="0" applyFont="1" applyBorder="1" applyAlignment="1">
      <alignment horizontal="center"/>
    </xf>
    <xf numFmtId="1" fontId="0" fillId="0" borderId="0" xfId="0" applyNumberFormat="1"/>
    <xf numFmtId="0" fontId="15" fillId="0" borderId="0" xfId="0" applyFont="1" applyBorder="1" applyAlignment="1">
      <alignment horizontal="center"/>
    </xf>
    <xf numFmtId="3" fontId="8" fillId="0" borderId="0" xfId="0" applyNumberFormat="1" applyFont="1" applyAlignment="1">
      <alignment horizontal="center"/>
    </xf>
    <xf numFmtId="0" fontId="7" fillId="0" borderId="0" xfId="5"/>
    <xf numFmtId="0" fontId="7" fillId="0" borderId="47" xfId="5" applyBorder="1" applyAlignment="1">
      <alignment horizontal="center" wrapText="1"/>
    </xf>
    <xf numFmtId="0" fontId="7" fillId="0" borderId="0" xfId="5" applyFill="1" applyBorder="1" applyAlignment="1">
      <alignment horizontal="center" wrapText="1"/>
    </xf>
    <xf numFmtId="49" fontId="7" fillId="0" borderId="65" xfId="5" applyNumberFormat="1" applyBorder="1" applyAlignment="1">
      <alignment horizontal="center"/>
    </xf>
    <xf numFmtId="49" fontId="7" fillId="0" borderId="18" xfId="5" applyNumberFormat="1" applyBorder="1" applyAlignment="1">
      <alignment horizontal="center"/>
    </xf>
    <xf numFmtId="0" fontId="7" fillId="0" borderId="85" xfId="5" applyBorder="1" applyAlignment="1"/>
    <xf numFmtId="1" fontId="7" fillId="0" borderId="82" xfId="5" applyNumberFormat="1" applyBorder="1" applyAlignment="1">
      <alignment horizontal="center"/>
    </xf>
    <xf numFmtId="0" fontId="7" fillId="0" borderId="43" xfId="5" applyBorder="1" applyAlignment="1">
      <alignment horizontal="center"/>
    </xf>
    <xf numFmtId="186" fontId="7" fillId="0" borderId="33" xfId="5" applyNumberFormat="1" applyBorder="1" applyAlignment="1">
      <alignment horizontal="center"/>
    </xf>
    <xf numFmtId="185" fontId="7" fillId="0" borderId="85" xfId="5" applyNumberFormat="1" applyBorder="1" applyAlignment="1">
      <alignment horizontal="center" wrapText="1"/>
    </xf>
    <xf numFmtId="185" fontId="7" fillId="0" borderId="0" xfId="5" applyNumberFormat="1"/>
    <xf numFmtId="3" fontId="7" fillId="0" borderId="82" xfId="5" applyNumberFormat="1" applyBorder="1" applyAlignment="1">
      <alignment horizontal="center"/>
    </xf>
    <xf numFmtId="49" fontId="7" fillId="0" borderId="14" xfId="5" applyNumberFormat="1" applyBorder="1" applyAlignment="1">
      <alignment horizontal="center"/>
    </xf>
    <xf numFmtId="49" fontId="7" fillId="0" borderId="20" xfId="5" applyNumberFormat="1" applyBorder="1" applyAlignment="1">
      <alignment horizontal="center"/>
    </xf>
    <xf numFmtId="0" fontId="7" fillId="0" borderId="86" xfId="5" applyBorder="1" applyAlignment="1"/>
    <xf numFmtId="1" fontId="7" fillId="0" borderId="87" xfId="5" applyNumberFormat="1" applyBorder="1" applyAlignment="1">
      <alignment horizontal="center"/>
    </xf>
    <xf numFmtId="0" fontId="7" fillId="0" borderId="51" xfId="5" applyBorder="1" applyAlignment="1">
      <alignment horizontal="center"/>
    </xf>
    <xf numFmtId="186" fontId="7" fillId="0" borderId="26" xfId="5" applyNumberFormat="1" applyBorder="1" applyAlignment="1">
      <alignment horizontal="center"/>
    </xf>
    <xf numFmtId="185" fontId="7" fillId="0" borderId="86" xfId="5" applyNumberFormat="1" applyBorder="1" applyAlignment="1">
      <alignment horizontal="center" wrapText="1"/>
    </xf>
    <xf numFmtId="49" fontId="7" fillId="0" borderId="88" xfId="5" applyNumberFormat="1" applyBorder="1" applyAlignment="1"/>
    <xf numFmtId="49" fontId="7" fillId="0" borderId="5" xfId="5" applyNumberFormat="1" applyBorder="1" applyAlignment="1"/>
    <xf numFmtId="185" fontId="7" fillId="0" borderId="89" xfId="5" applyNumberFormat="1" applyBorder="1" applyAlignment="1">
      <alignment horizontal="center" wrapText="1"/>
    </xf>
    <xf numFmtId="49" fontId="7" fillId="0" borderId="90" xfId="5" applyNumberFormat="1" applyBorder="1" applyAlignment="1"/>
    <xf numFmtId="49" fontId="7" fillId="0" borderId="0" xfId="5" applyNumberFormat="1" applyBorder="1" applyAlignment="1"/>
    <xf numFmtId="9" fontId="7" fillId="0" borderId="82" xfId="5" applyNumberFormat="1" applyBorder="1" applyAlignment="1">
      <alignment horizontal="center"/>
    </xf>
    <xf numFmtId="49" fontId="7" fillId="0" borderId="58" xfId="5" applyNumberFormat="1" applyBorder="1" applyAlignment="1"/>
    <xf numFmtId="49" fontId="7" fillId="0" borderId="59" xfId="5" applyNumberFormat="1" applyBorder="1" applyAlignment="1"/>
    <xf numFmtId="9" fontId="7" fillId="0" borderId="83" xfId="5" applyNumberFormat="1" applyBorder="1" applyAlignment="1">
      <alignment horizontal="center"/>
    </xf>
    <xf numFmtId="185" fontId="7" fillId="0" borderId="91" xfId="5" applyNumberFormat="1" applyBorder="1" applyAlignment="1">
      <alignment horizontal="center" wrapText="1"/>
    </xf>
    <xf numFmtId="49" fontId="35" fillId="0" borderId="92" xfId="5" applyNumberFormat="1" applyFont="1" applyBorder="1" applyAlignment="1"/>
    <xf numFmtId="49" fontId="35" fillId="0" borderId="93" xfId="5" applyNumberFormat="1" applyFont="1" applyBorder="1" applyAlignment="1"/>
    <xf numFmtId="49" fontId="35" fillId="0" borderId="94" xfId="5" applyNumberFormat="1" applyFont="1" applyBorder="1" applyAlignment="1">
      <alignment horizontal="right"/>
    </xf>
    <xf numFmtId="185" fontId="35" fillId="6" borderId="49" xfId="5" applyNumberFormat="1" applyFont="1" applyFill="1" applyBorder="1" applyAlignment="1">
      <alignment horizontal="center" wrapText="1"/>
    </xf>
    <xf numFmtId="0" fontId="7" fillId="0" borderId="94" xfId="5" applyBorder="1" applyAlignment="1">
      <alignment horizontal="center"/>
    </xf>
    <xf numFmtId="0" fontId="7" fillId="0" borderId="0" xfId="5" applyAlignment="1">
      <alignment horizontal="right"/>
    </xf>
    <xf numFmtId="0" fontId="7" fillId="0" borderId="0" xfId="5" applyBorder="1"/>
    <xf numFmtId="49" fontId="7" fillId="0" borderId="0" xfId="5" applyNumberFormat="1" applyBorder="1" applyAlignment="1">
      <alignment horizontal="center"/>
    </xf>
    <xf numFmtId="0" fontId="7" fillId="0" borderId="0" xfId="5" applyBorder="1" applyAlignment="1"/>
    <xf numFmtId="0" fontId="7" fillId="0" borderId="0" xfId="5" applyBorder="1" applyAlignment="1">
      <alignment horizontal="center"/>
    </xf>
    <xf numFmtId="0" fontId="7" fillId="0" borderId="85" xfId="5" applyBorder="1" applyAlignment="1">
      <alignment wrapText="1"/>
    </xf>
    <xf numFmtId="1" fontId="9" fillId="0" borderId="0" xfId="0" applyNumberFormat="1" applyFont="1" applyAlignment="1">
      <alignment horizontal="center"/>
    </xf>
    <xf numFmtId="49" fontId="7" fillId="6" borderId="65" xfId="5" applyNumberFormat="1" applyFill="1" applyBorder="1" applyAlignment="1">
      <alignment horizontal="center"/>
    </xf>
    <xf numFmtId="49" fontId="7" fillId="6" borderId="18" xfId="5" applyNumberFormat="1" applyFill="1" applyBorder="1" applyAlignment="1">
      <alignment horizontal="center"/>
    </xf>
    <xf numFmtId="0" fontId="7" fillId="6" borderId="43" xfId="5" applyFill="1" applyBorder="1" applyAlignment="1">
      <alignment horizontal="center"/>
    </xf>
    <xf numFmtId="0" fontId="9" fillId="0" borderId="0" xfId="0" quotePrefix="1" applyFont="1" applyAlignment="1">
      <alignment horizontal="center"/>
    </xf>
    <xf numFmtId="49" fontId="16" fillId="0" borderId="65" xfId="5" applyNumberFormat="1" applyFont="1" applyBorder="1" applyAlignment="1">
      <alignment horizontal="center"/>
    </xf>
    <xf numFmtId="49" fontId="16" fillId="0" borderId="18" xfId="5" applyNumberFormat="1" applyFont="1" applyBorder="1" applyAlignment="1">
      <alignment horizontal="center"/>
    </xf>
    <xf numFmtId="0" fontId="16" fillId="0" borderId="85" xfId="5" applyFont="1" applyBorder="1" applyAlignment="1"/>
    <xf numFmtId="0" fontId="16" fillId="0" borderId="43" xfId="5" applyFont="1" applyBorder="1" applyAlignment="1">
      <alignment horizontal="center"/>
    </xf>
    <xf numFmtId="0" fontId="16" fillId="0" borderId="85" xfId="5" applyFont="1" applyBorder="1" applyAlignment="1">
      <alignment wrapText="1"/>
    </xf>
    <xf numFmtId="0" fontId="8" fillId="0" borderId="48" xfId="0" applyFont="1" applyBorder="1" applyAlignment="1">
      <alignment horizontal="center"/>
    </xf>
    <xf numFmtId="0" fontId="15" fillId="0" borderId="48" xfId="0" applyFont="1" applyBorder="1" applyAlignment="1">
      <alignment horizontal="center"/>
    </xf>
    <xf numFmtId="0" fontId="0" fillId="0" borderId="48" xfId="0" applyBorder="1" applyAlignment="1">
      <alignment horizontal="center"/>
    </xf>
    <xf numFmtId="0" fontId="0" fillId="0" borderId="52" xfId="0" applyBorder="1" applyAlignment="1">
      <alignment horizontal="center"/>
    </xf>
    <xf numFmtId="1" fontId="0" fillId="0" borderId="0" xfId="0" applyNumberFormat="1" applyFill="1" applyAlignment="1">
      <alignment horizontal="right"/>
    </xf>
    <xf numFmtId="2" fontId="0" fillId="0" borderId="0" xfId="0" applyNumberFormat="1" applyFill="1" applyAlignment="1">
      <alignment horizontal="right"/>
    </xf>
    <xf numFmtId="1" fontId="0" fillId="0" borderId="1" xfId="0" applyNumberFormat="1" applyFill="1" applyBorder="1"/>
    <xf numFmtId="1" fontId="9" fillId="0" borderId="92" xfId="0" applyNumberFormat="1" applyFont="1" applyBorder="1"/>
    <xf numFmtId="0" fontId="9" fillId="0" borderId="94" xfId="0" applyFont="1" applyBorder="1"/>
    <xf numFmtId="1" fontId="8" fillId="2" borderId="0" xfId="0" applyNumberFormat="1" applyFont="1" applyFill="1" applyAlignment="1">
      <alignment horizontal="right"/>
    </xf>
    <xf numFmtId="177" fontId="9" fillId="0" borderId="49" xfId="0" applyNumberFormat="1" applyFont="1" applyBorder="1" applyAlignment="1">
      <alignment horizontal="center"/>
    </xf>
    <xf numFmtId="1" fontId="8" fillId="0" borderId="1" xfId="0" applyNumberFormat="1" applyFont="1" applyBorder="1"/>
    <xf numFmtId="0" fontId="9" fillId="0" borderId="0" xfId="0" applyFont="1" applyFill="1" applyBorder="1" applyAlignment="1">
      <alignment horizontal="right"/>
    </xf>
    <xf numFmtId="0" fontId="10" fillId="0" borderId="0" xfId="0" applyFont="1" applyAlignment="1">
      <alignment horizontal="right"/>
    </xf>
    <xf numFmtId="0" fontId="8" fillId="0" borderId="0" xfId="0" applyFont="1" applyAlignment="1">
      <alignment wrapText="1"/>
    </xf>
    <xf numFmtId="2" fontId="0" fillId="3" borderId="0" xfId="0" applyNumberFormat="1" applyFill="1" applyAlignment="1">
      <alignment horizontal="center"/>
    </xf>
    <xf numFmtId="2" fontId="0" fillId="4" borderId="0" xfId="0" applyNumberFormat="1" applyFill="1" applyAlignment="1">
      <alignment horizontal="center"/>
    </xf>
    <xf numFmtId="0" fontId="0" fillId="4" borderId="0" xfId="0" applyFill="1" applyAlignment="1">
      <alignment horizontal="center"/>
    </xf>
    <xf numFmtId="49" fontId="16" fillId="0" borderId="0" xfId="5" applyNumberFormat="1" applyFont="1" applyBorder="1" applyAlignment="1">
      <alignment horizontal="center"/>
    </xf>
    <xf numFmtId="0" fontId="16" fillId="0" borderId="0" xfId="5" applyFont="1" applyBorder="1" applyAlignment="1">
      <alignment wrapText="1"/>
    </xf>
    <xf numFmtId="0" fontId="16" fillId="0" borderId="0" xfId="5" applyFont="1" applyBorder="1" applyAlignment="1">
      <alignment horizontal="center"/>
    </xf>
    <xf numFmtId="0" fontId="10" fillId="0" borderId="0" xfId="0" applyFont="1" applyFill="1" applyBorder="1" applyAlignment="1">
      <alignment horizontal="center"/>
    </xf>
    <xf numFmtId="3" fontId="0" fillId="0" borderId="1" xfId="0" applyNumberFormat="1" applyBorder="1" applyAlignment="1">
      <alignment horizontal="center"/>
    </xf>
    <xf numFmtId="1" fontId="0" fillId="0" borderId="1" xfId="0" applyNumberFormat="1" applyBorder="1" applyAlignment="1">
      <alignment horizontal="center"/>
    </xf>
    <xf numFmtId="0" fontId="8" fillId="4" borderId="95" xfId="0" applyFont="1" applyFill="1" applyBorder="1" applyAlignment="1">
      <alignment horizontal="left"/>
    </xf>
    <xf numFmtId="0" fontId="0" fillId="0" borderId="50" xfId="0" applyBorder="1"/>
    <xf numFmtId="0" fontId="0" fillId="0" borderId="79" xfId="0" applyBorder="1"/>
    <xf numFmtId="1" fontId="0" fillId="4" borderId="0" xfId="0" applyNumberFormat="1" applyFill="1" applyBorder="1" applyAlignment="1">
      <alignment horizontal="center"/>
    </xf>
    <xf numFmtId="2" fontId="0" fillId="0" borderId="48" xfId="0" applyNumberFormat="1" applyBorder="1" applyAlignment="1">
      <alignment horizontal="center"/>
    </xf>
    <xf numFmtId="177" fontId="0" fillId="4" borderId="0" xfId="0" applyNumberFormat="1" applyFill="1" applyBorder="1" applyAlignment="1">
      <alignment horizontal="center"/>
    </xf>
    <xf numFmtId="2" fontId="0" fillId="0" borderId="52" xfId="0" applyNumberFormat="1" applyBorder="1" applyAlignment="1">
      <alignment horizontal="center"/>
    </xf>
    <xf numFmtId="0" fontId="8" fillId="4" borderId="24" xfId="0" applyFont="1" applyFill="1" applyBorder="1" applyAlignment="1">
      <alignment horizontal="left"/>
    </xf>
    <xf numFmtId="0" fontId="0" fillId="0" borderId="48" xfId="0" applyBorder="1"/>
    <xf numFmtId="0" fontId="0" fillId="0" borderId="7" xfId="0" applyBorder="1"/>
    <xf numFmtId="3" fontId="0" fillId="0" borderId="0" xfId="0" applyNumberFormat="1" applyBorder="1" applyAlignment="1">
      <alignment horizontal="center"/>
    </xf>
    <xf numFmtId="49" fontId="16" fillId="0" borderId="0" xfId="5" applyNumberFormat="1" applyFont="1" applyBorder="1" applyAlignment="1">
      <alignment horizontal="left"/>
    </xf>
    <xf numFmtId="1" fontId="15" fillId="0" borderId="0" xfId="0" applyNumberFormat="1" applyFont="1" applyAlignment="1">
      <alignment horizontal="center"/>
    </xf>
    <xf numFmtId="1" fontId="8" fillId="0" borderId="0" xfId="0" applyNumberFormat="1" applyFont="1" applyAlignment="1">
      <alignment horizontal="center"/>
    </xf>
    <xf numFmtId="1" fontId="10" fillId="0" borderId="0" xfId="0" applyNumberFormat="1" applyFont="1" applyAlignment="1">
      <alignment horizontal="center"/>
    </xf>
    <xf numFmtId="49" fontId="16" fillId="0" borderId="14" xfId="5" applyNumberFormat="1" applyFont="1" applyBorder="1" applyAlignment="1">
      <alignment horizontal="center"/>
    </xf>
    <xf numFmtId="49" fontId="16" fillId="0" borderId="20" xfId="5" applyNumberFormat="1" applyFont="1" applyBorder="1" applyAlignment="1">
      <alignment horizontal="center"/>
    </xf>
    <xf numFmtId="0" fontId="16" fillId="0" borderId="51" xfId="5" applyFont="1" applyBorder="1" applyAlignment="1">
      <alignment horizontal="center"/>
    </xf>
    <xf numFmtId="170" fontId="0" fillId="0" borderId="0" xfId="0" applyNumberFormat="1" applyFill="1"/>
    <xf numFmtId="0" fontId="8" fillId="0" borderId="0" xfId="0" applyFont="1" applyAlignment="1">
      <alignment horizontal="right" wrapText="1"/>
    </xf>
    <xf numFmtId="2" fontId="0" fillId="0" borderId="0" xfId="0" applyNumberFormat="1" applyAlignment="1">
      <alignment horizontal="left"/>
    </xf>
    <xf numFmtId="2" fontId="0" fillId="0" borderId="0" xfId="0" applyNumberFormat="1" applyFill="1" applyAlignment="1">
      <alignment horizontal="left"/>
    </xf>
    <xf numFmtId="1" fontId="0" fillId="3" borderId="24" xfId="0" applyNumberFormat="1" applyFill="1" applyBorder="1" applyAlignment="1">
      <alignment horizontal="center"/>
    </xf>
    <xf numFmtId="2" fontId="0" fillId="3" borderId="0" xfId="0" applyNumberFormat="1" applyFill="1" applyBorder="1" applyAlignment="1">
      <alignment horizontal="center"/>
    </xf>
    <xf numFmtId="1" fontId="0" fillId="3" borderId="7" xfId="0" applyNumberFormat="1" applyFill="1" applyBorder="1" applyAlignment="1">
      <alignment horizontal="center"/>
    </xf>
    <xf numFmtId="2" fontId="0" fillId="3" borderId="23" xfId="0" applyNumberFormat="1" applyFill="1" applyBorder="1" applyAlignment="1">
      <alignment horizontal="center"/>
    </xf>
    <xf numFmtId="0" fontId="0" fillId="0" borderId="95" xfId="0" applyBorder="1"/>
    <xf numFmtId="0" fontId="8" fillId="0" borderId="79" xfId="0" applyFont="1" applyBorder="1" applyAlignment="1">
      <alignment horizontal="center"/>
    </xf>
    <xf numFmtId="0" fontId="15" fillId="0" borderId="7" xfId="0" applyFont="1" applyBorder="1" applyAlignment="1">
      <alignment horizontal="center"/>
    </xf>
    <xf numFmtId="0" fontId="15" fillId="0" borderId="23" xfId="0" applyFont="1" applyBorder="1" applyAlignment="1">
      <alignment horizontal="center"/>
    </xf>
    <xf numFmtId="0" fontId="15" fillId="0" borderId="52" xfId="0" applyFont="1" applyBorder="1" applyAlignment="1">
      <alignment horizontal="center"/>
    </xf>
    <xf numFmtId="0" fontId="8" fillId="0" borderId="0" xfId="0" applyFont="1" applyFill="1" applyAlignment="1">
      <alignment horizontal="center" wrapText="1"/>
    </xf>
    <xf numFmtId="2" fontId="8" fillId="0" borderId="0" xfId="0" applyNumberFormat="1" applyFont="1" applyAlignment="1">
      <alignment horizontal="center" wrapText="1"/>
    </xf>
    <xf numFmtId="2" fontId="9" fillId="0" borderId="0" xfId="0" applyNumberFormat="1" applyFont="1" applyAlignment="1">
      <alignment horizontal="center" wrapText="1"/>
    </xf>
    <xf numFmtId="0" fontId="9" fillId="0" borderId="49" xfId="0" applyFont="1" applyBorder="1" applyAlignment="1">
      <alignment horizontal="center"/>
    </xf>
    <xf numFmtId="0" fontId="9" fillId="0" borderId="0" xfId="0" applyFont="1" applyFill="1" applyAlignment="1">
      <alignment horizontal="center" wrapText="1"/>
    </xf>
    <xf numFmtId="49" fontId="7" fillId="6" borderId="65" xfId="5" applyNumberFormat="1" applyFont="1" applyFill="1" applyBorder="1" applyAlignment="1">
      <alignment horizontal="center"/>
    </xf>
    <xf numFmtId="49" fontId="7" fillId="6" borderId="18" xfId="5" applyNumberFormat="1" applyFont="1" applyFill="1" applyBorder="1" applyAlignment="1">
      <alignment horizontal="center"/>
    </xf>
    <xf numFmtId="0" fontId="7" fillId="6" borderId="43" xfId="5" applyFont="1" applyFill="1" applyBorder="1" applyAlignment="1">
      <alignment horizontal="center"/>
    </xf>
    <xf numFmtId="49" fontId="7" fillId="6" borderId="14" xfId="5" applyNumberFormat="1" applyFill="1" applyBorder="1" applyAlignment="1">
      <alignment horizontal="center"/>
    </xf>
    <xf numFmtId="49" fontId="7" fillId="6" borderId="20" xfId="5" applyNumberFormat="1" applyFill="1" applyBorder="1" applyAlignment="1">
      <alignment horizontal="center"/>
    </xf>
    <xf numFmtId="0" fontId="7" fillId="6" borderId="51" xfId="5" applyFill="1" applyBorder="1" applyAlignment="1">
      <alignment horizontal="center"/>
    </xf>
    <xf numFmtId="0" fontId="7" fillId="6" borderId="85" xfId="5" applyFill="1" applyBorder="1" applyAlignment="1">
      <alignment wrapText="1"/>
    </xf>
    <xf numFmtId="0" fontId="7" fillId="6" borderId="85" xfId="5" applyFont="1" applyFill="1" applyBorder="1" applyAlignment="1">
      <alignment wrapText="1"/>
    </xf>
    <xf numFmtId="0" fontId="7" fillId="6" borderId="86" xfId="5" applyFill="1" applyBorder="1" applyAlignment="1">
      <alignment wrapText="1"/>
    </xf>
    <xf numFmtId="1" fontId="7" fillId="0" borderId="86" xfId="5" applyNumberFormat="1" applyBorder="1" applyAlignment="1">
      <alignment horizontal="center"/>
    </xf>
    <xf numFmtId="0" fontId="0" fillId="6" borderId="0" xfId="0" applyFill="1"/>
    <xf numFmtId="0" fontId="16" fillId="0" borderId="86" xfId="5" applyFont="1" applyBorder="1" applyAlignment="1">
      <alignment wrapText="1"/>
    </xf>
    <xf numFmtId="0" fontId="9" fillId="0" borderId="0" xfId="0" applyFont="1" applyAlignment="1">
      <alignment horizontal="center"/>
    </xf>
    <xf numFmtId="186" fontId="0" fillId="0" borderId="0" xfId="0" applyNumberFormat="1"/>
    <xf numFmtId="2" fontId="8" fillId="0" borderId="0" xfId="0" applyNumberFormat="1" applyFont="1"/>
    <xf numFmtId="2" fontId="8" fillId="0" borderId="0" xfId="0" applyNumberFormat="1" applyFont="1" applyAlignment="1">
      <alignment horizontal="left"/>
    </xf>
    <xf numFmtId="49" fontId="6" fillId="6" borderId="18" xfId="5" applyNumberFormat="1" applyFont="1" applyFill="1" applyBorder="1" applyAlignment="1">
      <alignment horizontal="center"/>
    </xf>
    <xf numFmtId="185" fontId="9" fillId="0" borderId="49" xfId="0" applyNumberFormat="1" applyFont="1" applyBorder="1"/>
    <xf numFmtId="2" fontId="9" fillId="0" borderId="49" xfId="0" applyNumberFormat="1" applyFont="1" applyBorder="1"/>
    <xf numFmtId="1" fontId="7" fillId="0" borderId="82" xfId="5" applyNumberFormat="1" applyFill="1" applyBorder="1" applyAlignment="1">
      <alignment horizontal="center"/>
    </xf>
    <xf numFmtId="0" fontId="19" fillId="0" borderId="96" xfId="4" applyFont="1" applyFill="1" applyBorder="1" applyAlignment="1">
      <alignment horizontal="center" wrapText="1"/>
    </xf>
    <xf numFmtId="0" fontId="17" fillId="0" borderId="96" xfId="4" applyBorder="1" applyAlignment="1">
      <alignment horizontal="center"/>
    </xf>
    <xf numFmtId="187" fontId="0" fillId="2" borderId="0" xfId="0" applyNumberFormat="1" applyFill="1" applyBorder="1" applyAlignment="1">
      <alignment horizontal="left"/>
    </xf>
    <xf numFmtId="0" fontId="37" fillId="0" borderId="0" xfId="0" applyFont="1"/>
    <xf numFmtId="0" fontId="0" fillId="0" borderId="0" xfId="0" applyAlignment="1">
      <alignment horizontal="center"/>
    </xf>
    <xf numFmtId="175" fontId="0" fillId="0" borderId="0" xfId="0" applyNumberFormat="1" applyFill="1" applyBorder="1" applyAlignment="1">
      <alignment horizontal="center"/>
    </xf>
    <xf numFmtId="176" fontId="0" fillId="0" borderId="0" xfId="0" applyNumberFormat="1" applyBorder="1" applyAlignment="1">
      <alignment horizontal="center"/>
    </xf>
    <xf numFmtId="165" fontId="8" fillId="2" borderId="0" xfId="0" applyNumberFormat="1" applyFont="1" applyFill="1" applyBorder="1" applyAlignment="1">
      <alignment horizontal="center"/>
    </xf>
    <xf numFmtId="165" fontId="8" fillId="2" borderId="0" xfId="0" applyNumberFormat="1" applyFont="1" applyFill="1" applyBorder="1" applyAlignment="1">
      <alignment horizontal="right"/>
    </xf>
    <xf numFmtId="171" fontId="8" fillId="2" borderId="0" xfId="0" applyNumberFormat="1" applyFont="1" applyFill="1" applyBorder="1" applyAlignment="1">
      <alignment horizontal="right"/>
    </xf>
    <xf numFmtId="172" fontId="8" fillId="2" borderId="0" xfId="0" applyNumberFormat="1" applyFont="1" applyFill="1" applyBorder="1" applyAlignment="1">
      <alignment horizontal="center"/>
    </xf>
    <xf numFmtId="173" fontId="8" fillId="2" borderId="0" xfId="0" applyNumberFormat="1" applyFont="1" applyFill="1" applyBorder="1" applyAlignment="1">
      <alignment horizontal="left"/>
    </xf>
    <xf numFmtId="174" fontId="8" fillId="0" borderId="0" xfId="0" applyNumberFormat="1" applyFont="1" applyBorder="1" applyAlignment="1">
      <alignment horizontal="center"/>
    </xf>
    <xf numFmtId="175" fontId="8" fillId="0" borderId="0" xfId="0" applyNumberFormat="1" applyFont="1" applyBorder="1" applyAlignment="1">
      <alignment horizontal="center"/>
    </xf>
    <xf numFmtId="0" fontId="0" fillId="0" borderId="0" xfId="0" applyAlignment="1">
      <alignment horizontal="center"/>
    </xf>
    <xf numFmtId="49" fontId="0" fillId="0" borderId="0" xfId="0" applyNumberFormat="1"/>
    <xf numFmtId="3" fontId="0" fillId="0" borderId="0" xfId="0" applyNumberFormat="1"/>
    <xf numFmtId="0" fontId="5" fillId="0" borderId="85" xfId="5" applyFont="1" applyBorder="1" applyAlignment="1"/>
    <xf numFmtId="49" fontId="5" fillId="0" borderId="18" xfId="5" applyNumberFormat="1" applyFont="1" applyBorder="1" applyAlignment="1">
      <alignment horizontal="center"/>
    </xf>
    <xf numFmtId="0" fontId="5" fillId="6" borderId="85" xfId="5" applyFont="1" applyFill="1" applyBorder="1" applyAlignment="1">
      <alignment wrapText="1"/>
    </xf>
    <xf numFmtId="49" fontId="5" fillId="6" borderId="18" xfId="5" applyNumberFormat="1" applyFont="1" applyFill="1" applyBorder="1" applyAlignment="1">
      <alignment horizontal="center" wrapText="1"/>
    </xf>
    <xf numFmtId="179" fontId="17" fillId="0" borderId="1" xfId="4" applyNumberFormat="1" applyFill="1" applyBorder="1" applyAlignment="1">
      <alignment horizontal="center"/>
    </xf>
    <xf numFmtId="2" fontId="17" fillId="0" borderId="0" xfId="4" applyNumberFormat="1" applyFill="1" applyAlignment="1">
      <alignment horizontal="center"/>
    </xf>
    <xf numFmtId="179" fontId="17" fillId="0" borderId="0" xfId="4" applyNumberFormat="1" applyFill="1" applyBorder="1" applyAlignment="1">
      <alignment horizontal="center"/>
    </xf>
    <xf numFmtId="179" fontId="17" fillId="0" borderId="0" xfId="4" applyNumberFormat="1" applyFill="1" applyAlignment="1">
      <alignment horizontal="center"/>
    </xf>
    <xf numFmtId="0" fontId="3" fillId="0" borderId="85" xfId="5" applyFont="1" applyBorder="1" applyAlignment="1"/>
    <xf numFmtId="0" fontId="3" fillId="0" borderId="94" xfId="5" applyFont="1" applyBorder="1" applyAlignment="1">
      <alignment horizontal="center"/>
    </xf>
    <xf numFmtId="0" fontId="2" fillId="0" borderId="0" xfId="5" applyFont="1"/>
    <xf numFmtId="0" fontId="16" fillId="0" borderId="84" xfId="5" applyFont="1" applyBorder="1" applyAlignment="1">
      <alignment horizontal="center" vertical="center"/>
    </xf>
    <xf numFmtId="0" fontId="16" fillId="0" borderId="47" xfId="5" applyFont="1" applyBorder="1" applyAlignment="1">
      <alignment horizontal="center" vertical="center" wrapText="1"/>
    </xf>
    <xf numFmtId="0" fontId="16" fillId="0" borderId="25" xfId="5" applyFont="1" applyBorder="1" applyAlignment="1">
      <alignment horizontal="center" vertical="center" wrapText="1"/>
    </xf>
    <xf numFmtId="0" fontId="16" fillId="0" borderId="13" xfId="5" applyFont="1" applyBorder="1" applyAlignment="1">
      <alignment horizontal="center" vertical="center"/>
    </xf>
    <xf numFmtId="0" fontId="16" fillId="0" borderId="19" xfId="5" applyFont="1" applyBorder="1" applyAlignment="1">
      <alignment horizontal="center" vertical="center"/>
    </xf>
    <xf numFmtId="0" fontId="16" fillId="0" borderId="69" xfId="5" applyFont="1" applyBorder="1" applyAlignment="1">
      <alignment horizontal="center" vertical="center"/>
    </xf>
    <xf numFmtId="0" fontId="16" fillId="0" borderId="84" xfId="5" applyFont="1" applyBorder="1" applyAlignment="1">
      <alignment horizontal="center" vertical="center" wrapText="1"/>
    </xf>
    <xf numFmtId="164" fontId="0" fillId="7" borderId="0" xfId="0" applyNumberFormat="1" applyFill="1" applyBorder="1"/>
    <xf numFmtId="2" fontId="0" fillId="7" borderId="0" xfId="0" applyNumberFormat="1" applyFill="1" applyBorder="1"/>
    <xf numFmtId="0" fontId="0" fillId="7" borderId="0" xfId="0" applyFill="1" applyBorder="1"/>
    <xf numFmtId="10" fontId="0" fillId="7" borderId="0" xfId="0" applyNumberFormat="1" applyFill="1" applyBorder="1"/>
    <xf numFmtId="175" fontId="0" fillId="2" borderId="0" xfId="0" applyNumberFormat="1" applyFill="1"/>
    <xf numFmtId="0" fontId="0" fillId="0" borderId="0" xfId="0" applyFill="1"/>
    <xf numFmtId="0" fontId="8" fillId="0" borderId="0" xfId="0" applyFont="1" applyFill="1" applyBorder="1"/>
    <xf numFmtId="0" fontId="8" fillId="0" borderId="0" xfId="0" applyFont="1" applyFill="1"/>
    <xf numFmtId="0" fontId="9" fillId="0" borderId="0" xfId="0" applyFont="1" applyBorder="1" applyAlignment="1">
      <alignment horizontal="center" vertical="center" textRotation="90"/>
    </xf>
    <xf numFmtId="0" fontId="8" fillId="0" borderId="59" xfId="0" applyFont="1" applyBorder="1" applyAlignment="1"/>
    <xf numFmtId="165" fontId="0" fillId="0" borderId="0" xfId="2" applyNumberFormat="1" applyFont="1" applyFill="1" applyBorder="1" applyAlignment="1">
      <alignment horizontal="center"/>
    </xf>
    <xf numFmtId="175" fontId="0" fillId="0" borderId="0" xfId="2" applyNumberFormat="1" applyFont="1" applyFill="1" applyBorder="1" applyAlignment="1">
      <alignment horizontal="center"/>
    </xf>
    <xf numFmtId="165" fontId="8" fillId="3" borderId="0" xfId="0" applyNumberFormat="1" applyFont="1" applyFill="1" applyBorder="1" applyAlignment="1">
      <alignment horizontal="left"/>
    </xf>
    <xf numFmtId="175" fontId="0" fillId="3" borderId="0" xfId="2" applyNumberFormat="1" applyFont="1" applyFill="1" applyBorder="1" applyAlignment="1">
      <alignment horizontal="center"/>
    </xf>
    <xf numFmtId="165" fontId="0" fillId="3" borderId="0" xfId="2" applyNumberFormat="1" applyFont="1" applyFill="1" applyBorder="1" applyAlignment="1">
      <alignment horizontal="center"/>
    </xf>
    <xf numFmtId="165" fontId="8" fillId="0" borderId="0" xfId="0" applyNumberFormat="1" applyFont="1" applyFill="1" applyBorder="1" applyAlignment="1">
      <alignment horizontal="left"/>
    </xf>
    <xf numFmtId="2" fontId="0" fillId="0" borderId="2" xfId="0" applyNumberFormat="1" applyFill="1" applyBorder="1" applyAlignment="1">
      <alignment horizontal="center"/>
    </xf>
    <xf numFmtId="176" fontId="0" fillId="0" borderId="1" xfId="0" applyNumberFormat="1" applyFill="1" applyBorder="1" applyAlignment="1">
      <alignment horizontal="center"/>
    </xf>
    <xf numFmtId="175" fontId="0" fillId="0" borderId="1" xfId="0" applyNumberFormat="1" applyFill="1" applyBorder="1" applyAlignment="1">
      <alignment horizontal="center"/>
    </xf>
    <xf numFmtId="175" fontId="0" fillId="0" borderId="29" xfId="0" applyNumberFormat="1" applyFill="1" applyBorder="1" applyAlignment="1">
      <alignment horizontal="center"/>
    </xf>
    <xf numFmtId="176" fontId="0" fillId="0" borderId="29" xfId="0" applyNumberFormat="1" applyFill="1" applyBorder="1" applyAlignment="1">
      <alignment horizontal="center"/>
    </xf>
    <xf numFmtId="165" fontId="0" fillId="0" borderId="44" xfId="0" applyNumberFormat="1" applyFill="1" applyBorder="1" applyAlignment="1">
      <alignment horizontal="center"/>
    </xf>
    <xf numFmtId="2" fontId="0" fillId="0" borderId="36" xfId="0" applyNumberFormat="1" applyBorder="1" applyAlignment="1">
      <alignment horizontal="center"/>
    </xf>
    <xf numFmtId="0" fontId="8" fillId="0" borderId="65" xfId="0" applyFont="1" applyBorder="1" applyAlignment="1">
      <alignment horizontal="center"/>
    </xf>
    <xf numFmtId="0" fontId="8" fillId="0" borderId="35" xfId="0" applyFont="1" applyBorder="1" applyAlignment="1">
      <alignment horizontal="center"/>
    </xf>
    <xf numFmtId="2" fontId="0" fillId="3" borderId="0" xfId="0" applyNumberFormat="1" applyFill="1"/>
    <xf numFmtId="2" fontId="0" fillId="3" borderId="23" xfId="0" applyNumberFormat="1" applyFill="1" applyBorder="1"/>
    <xf numFmtId="0" fontId="0" fillId="0" borderId="11" xfId="0" applyBorder="1"/>
    <xf numFmtId="0" fontId="0" fillId="0" borderId="1" xfId="0" applyBorder="1"/>
    <xf numFmtId="0" fontId="0" fillId="0" borderId="29" xfId="0" applyBorder="1"/>
    <xf numFmtId="165" fontId="0" fillId="0" borderId="11" xfId="0" applyNumberFormat="1" applyFill="1" applyBorder="1"/>
    <xf numFmtId="2" fontId="0" fillId="0" borderId="11" xfId="0" applyNumberFormat="1" applyFill="1" applyBorder="1"/>
    <xf numFmtId="165" fontId="0" fillId="0" borderId="1" xfId="0" applyNumberFormat="1" applyFill="1" applyBorder="1"/>
    <xf numFmtId="2" fontId="0" fillId="0" borderId="1" xfId="0" applyNumberFormat="1" applyFill="1" applyBorder="1"/>
    <xf numFmtId="165" fontId="0" fillId="0" borderId="29" xfId="0" applyNumberFormat="1" applyFill="1" applyBorder="1"/>
    <xf numFmtId="2" fontId="0" fillId="0" borderId="29" xfId="0" applyNumberFormat="1" applyFill="1" applyBorder="1"/>
    <xf numFmtId="2" fontId="0" fillId="0" borderId="21" xfId="0" applyNumberFormat="1" applyFill="1" applyBorder="1"/>
    <xf numFmtId="0" fontId="19" fillId="0" borderId="0" xfId="0" applyFont="1" applyAlignment="1">
      <alignment vertical="center"/>
    </xf>
    <xf numFmtId="0" fontId="19" fillId="0" borderId="0" xfId="0" applyFont="1" applyAlignment="1">
      <alignment horizontal="center" vertical="center"/>
    </xf>
    <xf numFmtId="0" fontId="0" fillId="0" borderId="0" xfId="0" applyAlignment="1">
      <alignment vertical="center"/>
    </xf>
    <xf numFmtId="0" fontId="0" fillId="0" borderId="0" xfId="0" applyFill="1" applyBorder="1" applyAlignment="1">
      <alignment vertical="center"/>
    </xf>
    <xf numFmtId="188" fontId="8" fillId="0" borderId="0" xfId="0" applyNumberFormat="1" applyFont="1" applyFill="1" applyBorder="1" applyAlignment="1">
      <alignment horizontal="left" vertical="center"/>
    </xf>
    <xf numFmtId="0" fontId="8" fillId="0" borderId="0" xfId="0" applyFont="1" applyFill="1" applyBorder="1" applyAlignment="1">
      <alignment horizontal="center" vertical="center" textRotation="90" wrapText="1"/>
    </xf>
    <xf numFmtId="0" fontId="0" fillId="0" borderId="0" xfId="0" applyFill="1" applyBorder="1" applyAlignment="1">
      <alignment horizontal="center" vertical="center" textRotation="90" wrapText="1"/>
    </xf>
    <xf numFmtId="188" fontId="0" fillId="0" borderId="0" xfId="0" applyNumberFormat="1" applyFill="1" applyBorder="1" applyAlignment="1">
      <alignment horizontal="center" vertical="center"/>
    </xf>
    <xf numFmtId="0" fontId="8" fillId="0" borderId="0" xfId="0" applyFont="1" applyFill="1" applyBorder="1" applyAlignment="1">
      <alignment vertical="center"/>
    </xf>
    <xf numFmtId="2" fontId="0" fillId="0" borderId="0" xfId="0" applyNumberFormat="1" applyFill="1" applyBorder="1" applyAlignment="1">
      <alignment horizontal="center" vertical="center"/>
    </xf>
    <xf numFmtId="2" fontId="0" fillId="0" borderId="0" xfId="0" applyNumberFormat="1" applyFill="1" applyBorder="1" applyAlignment="1">
      <alignment horizontal="right" vertical="center"/>
    </xf>
    <xf numFmtId="2" fontId="0" fillId="0" borderId="0" xfId="0" applyNumberFormat="1" applyFill="1" applyBorder="1" applyAlignment="1">
      <alignment vertical="center"/>
    </xf>
    <xf numFmtId="0" fontId="0" fillId="0" borderId="0" xfId="0" applyFill="1" applyBorder="1" applyAlignment="1">
      <alignment horizontal="right" vertical="center"/>
    </xf>
    <xf numFmtId="188" fontId="0" fillId="0" borderId="0" xfId="0" applyNumberFormat="1" applyFill="1" applyBorder="1" applyAlignment="1">
      <alignment vertical="center"/>
    </xf>
    <xf numFmtId="2" fontId="0" fillId="8" borderId="1" xfId="0" applyNumberFormat="1" applyFill="1" applyBorder="1" applyAlignment="1">
      <alignment horizontal="center" vertical="center"/>
    </xf>
    <xf numFmtId="2" fontId="8" fillId="0" borderId="0" xfId="0" applyNumberFormat="1" applyFont="1" applyFill="1" applyBorder="1" applyAlignment="1">
      <alignment horizontal="right" vertical="center"/>
    </xf>
    <xf numFmtId="2" fontId="0" fillId="0" borderId="0" xfId="0" applyNumberFormat="1" applyFill="1" applyAlignment="1">
      <alignment horizontal="center" vertical="center"/>
    </xf>
    <xf numFmtId="170" fontId="0" fillId="0" borderId="0" xfId="0" applyNumberFormat="1" applyFill="1" applyBorder="1" applyAlignment="1">
      <alignment horizontal="center" vertical="center"/>
    </xf>
    <xf numFmtId="188" fontId="8" fillId="0" borderId="0" xfId="0" applyNumberFormat="1" applyFont="1" applyFill="1" applyBorder="1" applyAlignment="1">
      <alignment horizontal="right" vertical="center"/>
    </xf>
    <xf numFmtId="1" fontId="0" fillId="8" borderId="1" xfId="0" applyNumberFormat="1" applyFill="1" applyBorder="1" applyAlignment="1">
      <alignment horizontal="right" vertical="center"/>
    </xf>
    <xf numFmtId="170" fontId="8" fillId="0" borderId="0" xfId="0" quotePrefix="1" applyNumberFormat="1" applyFont="1" applyFill="1" applyBorder="1" applyAlignment="1">
      <alignment horizontal="left" vertical="center"/>
    </xf>
    <xf numFmtId="2" fontId="0" fillId="8" borderId="1" xfId="0" applyNumberFormat="1" applyFill="1" applyBorder="1" applyAlignment="1">
      <alignment horizontal="right" vertical="center"/>
    </xf>
    <xf numFmtId="170" fontId="8" fillId="0" borderId="0" xfId="0" applyNumberFormat="1" applyFont="1" applyFill="1" applyBorder="1" applyAlignment="1">
      <alignment horizontal="left" vertical="center"/>
    </xf>
    <xf numFmtId="170" fontId="0" fillId="8" borderId="1" xfId="0" applyNumberFormat="1" applyFill="1" applyBorder="1" applyAlignment="1">
      <alignment horizontal="right" vertical="center"/>
    </xf>
    <xf numFmtId="0" fontId="8" fillId="0" borderId="0" xfId="0" applyFont="1" applyFill="1" applyBorder="1" applyAlignment="1">
      <alignment horizontal="right" vertical="center"/>
    </xf>
    <xf numFmtId="188" fontId="8" fillId="0" borderId="0" xfId="0" applyNumberFormat="1" applyFont="1" applyFill="1" applyBorder="1" applyAlignment="1">
      <alignment horizontal="center" vertical="center"/>
    </xf>
    <xf numFmtId="170" fontId="0" fillId="0" borderId="0" xfId="0" applyNumberFormat="1" applyFill="1" applyBorder="1" applyAlignment="1">
      <alignment horizontal="left" vertical="center"/>
    </xf>
    <xf numFmtId="2" fontId="8" fillId="0" borderId="0" xfId="0" applyNumberFormat="1" applyFont="1" applyFill="1" applyBorder="1" applyAlignment="1">
      <alignment horizontal="center" vertical="center"/>
    </xf>
    <xf numFmtId="0" fontId="8" fillId="0" borderId="0" xfId="0" applyFont="1" applyAlignment="1">
      <alignment vertical="center"/>
    </xf>
    <xf numFmtId="0" fontId="9" fillId="0" borderId="0" xfId="0" applyFont="1" applyFill="1" applyBorder="1" applyAlignment="1">
      <alignment horizontal="right" vertical="center"/>
    </xf>
    <xf numFmtId="2" fontId="9" fillId="0" borderId="0" xfId="0" applyNumberFormat="1" applyFont="1" applyFill="1" applyBorder="1" applyAlignment="1">
      <alignment horizontal="center" vertical="center"/>
    </xf>
    <xf numFmtId="170" fontId="9" fillId="0" borderId="0" xfId="0" applyNumberFormat="1" applyFont="1" applyFill="1" applyBorder="1" applyAlignment="1">
      <alignment horizontal="right" vertical="center"/>
    </xf>
    <xf numFmtId="2" fontId="9" fillId="0" borderId="0" xfId="0" applyNumberFormat="1" applyFont="1" applyFill="1" applyBorder="1" applyAlignment="1">
      <alignment horizontal="left" vertical="center"/>
    </xf>
    <xf numFmtId="0" fontId="8" fillId="0" borderId="0" xfId="0" applyFont="1" applyAlignment="1">
      <alignment horizontal="center" vertical="center"/>
    </xf>
    <xf numFmtId="170" fontId="0" fillId="8" borderId="1" xfId="0" applyNumberFormat="1" applyFill="1" applyBorder="1" applyAlignment="1">
      <alignment horizontal="center" vertical="center"/>
    </xf>
    <xf numFmtId="170" fontId="43" fillId="0" borderId="0" xfId="0" applyNumberFormat="1" applyFont="1" applyFill="1" applyBorder="1" applyAlignment="1">
      <alignment horizontal="center" vertical="center"/>
    </xf>
    <xf numFmtId="2" fontId="0" fillId="0" borderId="0" xfId="0" quotePrefix="1" applyNumberFormat="1" applyFill="1" applyBorder="1" applyAlignment="1">
      <alignment horizontal="left" vertical="center"/>
    </xf>
    <xf numFmtId="0" fontId="9" fillId="0" borderId="0" xfId="0" applyFont="1" applyAlignment="1">
      <alignment vertical="center"/>
    </xf>
    <xf numFmtId="0" fontId="14" fillId="0" borderId="0" xfId="0" applyFont="1"/>
    <xf numFmtId="0" fontId="0" fillId="8" borderId="1" xfId="0" applyFill="1" applyBorder="1" applyAlignment="1">
      <alignment horizontal="left" vertical="center"/>
    </xf>
    <xf numFmtId="2" fontId="0" fillId="0" borderId="0" xfId="0" applyNumberFormat="1" applyFill="1" applyBorder="1" applyAlignment="1">
      <alignment horizontal="left" vertical="center"/>
    </xf>
    <xf numFmtId="2" fontId="8" fillId="0" borderId="0" xfId="0" applyNumberFormat="1" applyFont="1" applyFill="1" applyBorder="1" applyAlignment="1">
      <alignment horizontal="left" vertical="center"/>
    </xf>
    <xf numFmtId="2" fontId="0" fillId="3" borderId="25" xfId="0" applyNumberFormat="1" applyFill="1" applyBorder="1"/>
    <xf numFmtId="2" fontId="0" fillId="3" borderId="33" xfId="0" applyNumberFormat="1" applyFill="1" applyBorder="1"/>
    <xf numFmtId="2" fontId="0" fillId="3" borderId="36" xfId="0" applyNumberFormat="1" applyFill="1" applyBorder="1"/>
    <xf numFmtId="2" fontId="0" fillId="3" borderId="49" xfId="0" applyNumberFormat="1" applyFill="1" applyBorder="1" applyAlignment="1">
      <alignment horizontal="center" vertical="center"/>
    </xf>
    <xf numFmtId="0" fontId="0" fillId="3" borderId="84" xfId="0" applyFill="1" applyBorder="1"/>
    <xf numFmtId="0" fontId="0" fillId="3" borderId="85" xfId="0" applyFill="1" applyBorder="1"/>
    <xf numFmtId="0" fontId="0" fillId="3" borderId="91" xfId="0" applyFill="1" applyBorder="1"/>
    <xf numFmtId="0" fontId="0" fillId="3" borderId="89" xfId="0" applyFill="1" applyBorder="1"/>
    <xf numFmtId="0" fontId="0" fillId="3" borderId="103" xfId="0" applyFill="1" applyBorder="1"/>
    <xf numFmtId="2" fontId="0" fillId="3" borderId="84" xfId="0" applyNumberFormat="1" applyFill="1" applyBorder="1"/>
    <xf numFmtId="2" fontId="0" fillId="3" borderId="85" xfId="0" applyNumberFormat="1" applyFill="1" applyBorder="1"/>
    <xf numFmtId="2" fontId="0" fillId="3" borderId="103" xfId="0" applyNumberFormat="1" applyFill="1" applyBorder="1"/>
    <xf numFmtId="2" fontId="0" fillId="3" borderId="91" xfId="0" applyNumberFormat="1" applyFill="1" applyBorder="1"/>
    <xf numFmtId="2" fontId="0" fillId="3" borderId="89" xfId="0" applyNumberFormat="1" applyFill="1" applyBorder="1"/>
    <xf numFmtId="2" fontId="9" fillId="0" borderId="0" xfId="0" applyNumberFormat="1" applyFont="1" applyFill="1" applyBorder="1" applyAlignment="1">
      <alignment horizontal="right" vertical="center"/>
    </xf>
    <xf numFmtId="170" fontId="0" fillId="0" borderId="11" xfId="0" applyNumberFormat="1" applyFill="1" applyBorder="1"/>
    <xf numFmtId="170" fontId="0" fillId="0" borderId="1" xfId="0" applyNumberFormat="1" applyFill="1" applyBorder="1"/>
    <xf numFmtId="170" fontId="0" fillId="0" borderId="29" xfId="0" applyNumberFormat="1" applyFill="1" applyBorder="1"/>
    <xf numFmtId="0" fontId="8" fillId="0" borderId="105" xfId="0" applyFont="1" applyBorder="1" applyAlignment="1">
      <alignment horizontal="center" wrapText="1"/>
    </xf>
    <xf numFmtId="0" fontId="8" fillId="0" borderId="28" xfId="0" applyFont="1" applyBorder="1" applyAlignment="1">
      <alignment horizontal="center" wrapText="1"/>
    </xf>
    <xf numFmtId="0" fontId="8" fillId="0" borderId="0" xfId="0" applyFont="1" applyAlignment="1">
      <alignment horizontal="center"/>
    </xf>
    <xf numFmtId="175" fontId="0" fillId="3" borderId="1" xfId="0" applyNumberFormat="1" applyFill="1" applyBorder="1" applyAlignment="1">
      <alignment horizontal="center"/>
    </xf>
    <xf numFmtId="175" fontId="0" fillId="3" borderId="29" xfId="0" applyNumberFormat="1" applyFill="1" applyBorder="1" applyAlignment="1">
      <alignment horizontal="center"/>
    </xf>
    <xf numFmtId="165" fontId="0" fillId="3" borderId="1" xfId="0" applyNumberFormat="1" applyFill="1" applyBorder="1" applyAlignment="1">
      <alignment horizontal="center"/>
    </xf>
    <xf numFmtId="165" fontId="0" fillId="3" borderId="44" xfId="0" applyNumberFormat="1" applyFill="1" applyBorder="1" applyAlignment="1">
      <alignment horizontal="center"/>
    </xf>
    <xf numFmtId="165" fontId="0" fillId="3" borderId="29" xfId="0" applyNumberFormat="1" applyFill="1" applyBorder="1" applyAlignment="1">
      <alignment horizontal="center"/>
    </xf>
    <xf numFmtId="176" fontId="0" fillId="3" borderId="1" xfId="0" applyNumberFormat="1" applyFill="1" applyBorder="1" applyAlignment="1">
      <alignment horizontal="center"/>
    </xf>
    <xf numFmtId="176" fontId="0" fillId="3" borderId="29" xfId="0" applyNumberFormat="1" applyFill="1" applyBorder="1" applyAlignment="1">
      <alignment horizontal="center"/>
    </xf>
    <xf numFmtId="188" fontId="9" fillId="0" borderId="0" xfId="0" quotePrefix="1" applyNumberFormat="1" applyFont="1" applyFill="1" applyBorder="1" applyAlignment="1">
      <alignment horizontal="left" vertical="center"/>
    </xf>
    <xf numFmtId="0" fontId="19" fillId="0" borderId="0" xfId="0" applyFont="1" applyAlignment="1">
      <alignment horizontal="center"/>
    </xf>
    <xf numFmtId="0" fontId="8" fillId="0" borderId="1" xfId="0" applyFont="1" applyFill="1" applyBorder="1" applyAlignment="1">
      <alignment vertical="center"/>
    </xf>
    <xf numFmtId="188"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19" fillId="0" borderId="0" xfId="0" applyFont="1" applyAlignment="1"/>
    <xf numFmtId="175" fontId="8" fillId="0" borderId="0" xfId="2" applyNumberFormat="1" applyFont="1" applyFill="1" applyBorder="1" applyAlignment="1">
      <alignment horizontal="center"/>
    </xf>
    <xf numFmtId="2" fontId="8" fillId="0" borderId="0" xfId="0" applyNumberFormat="1" applyFont="1" applyFill="1" applyBorder="1" applyAlignment="1">
      <alignment horizontal="center"/>
    </xf>
    <xf numFmtId="170" fontId="0" fillId="3" borderId="0" xfId="2" applyNumberFormat="1" applyFont="1" applyFill="1" applyBorder="1" applyAlignment="1">
      <alignment horizontal="center"/>
    </xf>
    <xf numFmtId="170" fontId="8" fillId="3" borderId="0" xfId="0" applyNumberFormat="1" applyFont="1" applyFill="1" applyBorder="1" applyAlignment="1">
      <alignment horizontal="center"/>
    </xf>
    <xf numFmtId="170" fontId="0" fillId="3" borderId="0" xfId="0" applyNumberFormat="1" applyFill="1" applyAlignment="1">
      <alignment horizontal="center"/>
    </xf>
    <xf numFmtId="2" fontId="0" fillId="3" borderId="2" xfId="0" applyNumberFormat="1" applyFill="1" applyBorder="1" applyAlignment="1">
      <alignment horizontal="center"/>
    </xf>
    <xf numFmtId="170" fontId="8" fillId="3" borderId="0" xfId="2" applyNumberFormat="1" applyFont="1" applyFill="1" applyBorder="1" applyAlignment="1">
      <alignment horizontal="center"/>
    </xf>
    <xf numFmtId="0" fontId="8" fillId="0" borderId="0" xfId="0" quotePrefix="1" applyFont="1" applyBorder="1" applyAlignment="1">
      <alignment horizontal="center"/>
    </xf>
    <xf numFmtId="0" fontId="8" fillId="0" borderId="0" xfId="0" applyFont="1" applyBorder="1" applyAlignment="1"/>
    <xf numFmtId="2" fontId="8" fillId="0" borderId="0" xfId="2" applyNumberFormat="1" applyFont="1" applyFill="1" applyBorder="1" applyAlignment="1">
      <alignment horizontal="center"/>
    </xf>
    <xf numFmtId="9" fontId="8" fillId="0" borderId="49" xfId="2" applyFont="1" applyFill="1" applyBorder="1" applyAlignment="1">
      <alignment horizontal="right"/>
    </xf>
    <xf numFmtId="2" fontId="0" fillId="0" borderId="49" xfId="0" applyNumberFormat="1" applyFill="1" applyBorder="1" applyAlignment="1">
      <alignment horizontal="center"/>
    </xf>
    <xf numFmtId="9" fontId="8" fillId="0" borderId="49" xfId="2" applyFont="1" applyFill="1" applyBorder="1" applyAlignment="1">
      <alignment horizontal="center"/>
    </xf>
    <xf numFmtId="0" fontId="9" fillId="0" borderId="0" xfId="0" applyFont="1" applyBorder="1" applyAlignment="1"/>
    <xf numFmtId="2" fontId="0" fillId="0" borderId="4" xfId="0" applyNumberFormat="1" applyFill="1" applyBorder="1" applyAlignment="1">
      <alignment horizontal="center"/>
    </xf>
    <xf numFmtId="2" fontId="0" fillId="3" borderId="4" xfId="0" applyNumberFormat="1" applyFill="1" applyBorder="1" applyAlignment="1">
      <alignment horizontal="center"/>
    </xf>
    <xf numFmtId="2" fontId="0" fillId="0" borderId="36" xfId="0" applyNumberFormat="1" applyFill="1" applyBorder="1" applyAlignment="1">
      <alignment horizontal="center"/>
    </xf>
    <xf numFmtId="0" fontId="0" fillId="3" borderId="107" xfId="0" applyFill="1" applyBorder="1" applyAlignment="1">
      <alignment horizontal="center" vertical="center"/>
    </xf>
    <xf numFmtId="0" fontId="0" fillId="3" borderId="108" xfId="0" applyFill="1" applyBorder="1" applyAlignment="1">
      <alignment horizontal="center" vertical="center"/>
    </xf>
    <xf numFmtId="0" fontId="0" fillId="0" borderId="0" xfId="0" applyBorder="1" applyAlignment="1">
      <alignment horizontal="center" vertical="center" wrapText="1"/>
    </xf>
    <xf numFmtId="0" fontId="0" fillId="0" borderId="0" xfId="0" applyBorder="1" applyAlignment="1">
      <alignment horizontal="center" vertical="center"/>
    </xf>
    <xf numFmtId="0" fontId="0" fillId="0" borderId="0" xfId="0" applyFill="1" applyBorder="1" applyAlignment="1">
      <alignment horizontal="center" vertical="center"/>
    </xf>
    <xf numFmtId="170" fontId="0" fillId="0" borderId="0" xfId="0" applyNumberFormat="1" applyBorder="1" applyAlignment="1">
      <alignment horizontal="center" vertical="center"/>
    </xf>
    <xf numFmtId="0" fontId="0" fillId="3" borderId="106" xfId="0" applyFill="1" applyBorder="1" applyAlignment="1">
      <alignment horizontal="center" vertical="center"/>
    </xf>
    <xf numFmtId="170" fontId="0" fillId="0" borderId="66" xfId="0" applyNumberFormat="1" applyBorder="1" applyAlignment="1">
      <alignment horizontal="center" vertical="center"/>
    </xf>
    <xf numFmtId="170" fontId="0" fillId="0" borderId="67" xfId="0" applyNumberFormat="1" applyBorder="1" applyAlignment="1">
      <alignment horizontal="center" vertical="center"/>
    </xf>
    <xf numFmtId="170" fontId="0" fillId="0" borderId="68" xfId="0" applyNumberFormat="1" applyBorder="1" applyAlignment="1">
      <alignment horizontal="center" vertical="center"/>
    </xf>
    <xf numFmtId="0" fontId="7" fillId="0" borderId="70" xfId="5" applyBorder="1" applyAlignment="1">
      <alignment horizontal="right"/>
    </xf>
    <xf numFmtId="0" fontId="7" fillId="0" borderId="71" xfId="5" applyBorder="1" applyAlignment="1">
      <alignment horizontal="right"/>
    </xf>
    <xf numFmtId="0" fontId="7" fillId="0" borderId="92" xfId="5" applyBorder="1" applyAlignment="1">
      <alignment horizontal="right"/>
    </xf>
    <xf numFmtId="0" fontId="7" fillId="0" borderId="93" xfId="5" applyBorder="1" applyAlignment="1">
      <alignment horizontal="right"/>
    </xf>
    <xf numFmtId="0" fontId="7" fillId="0" borderId="94" xfId="5" applyBorder="1" applyAlignment="1">
      <alignment horizontal="right"/>
    </xf>
    <xf numFmtId="0" fontId="35" fillId="0" borderId="0" xfId="5" applyFont="1" applyAlignment="1">
      <alignment horizontal="center"/>
    </xf>
    <xf numFmtId="0" fontId="36" fillId="0" borderId="0" xfId="5" applyFont="1" applyAlignment="1">
      <alignment horizontal="center"/>
    </xf>
    <xf numFmtId="0" fontId="1" fillId="0" borderId="0" xfId="5" applyFont="1" applyAlignment="1">
      <alignment horizontal="center"/>
    </xf>
    <xf numFmtId="0" fontId="7" fillId="0" borderId="0" xfId="5" applyAlignment="1">
      <alignment horizontal="center"/>
    </xf>
    <xf numFmtId="0" fontId="4" fillId="0" borderId="0" xfId="5" applyFont="1" applyAlignment="1">
      <alignment horizontal="center"/>
    </xf>
    <xf numFmtId="0" fontId="7" fillId="0" borderId="41" xfId="5" applyBorder="1" applyAlignment="1">
      <alignment horizontal="right"/>
    </xf>
    <xf numFmtId="0" fontId="7" fillId="0" borderId="37" xfId="5" applyBorder="1" applyAlignment="1">
      <alignment horizontal="right"/>
    </xf>
    <xf numFmtId="0" fontId="7" fillId="0" borderId="42" xfId="5" applyBorder="1" applyAlignment="1">
      <alignment horizontal="right"/>
    </xf>
    <xf numFmtId="0" fontId="7" fillId="0" borderId="57" xfId="5" applyBorder="1" applyAlignment="1">
      <alignment horizontal="right"/>
    </xf>
    <xf numFmtId="0" fontId="7" fillId="0" borderId="38" xfId="5" applyBorder="1" applyAlignment="1">
      <alignment horizontal="right"/>
    </xf>
    <xf numFmtId="0" fontId="8" fillId="0" borderId="0" xfId="0" applyFont="1" applyAlignment="1">
      <alignment horizontal="center"/>
    </xf>
    <xf numFmtId="0" fontId="8" fillId="0" borderId="18" xfId="0" applyFont="1" applyBorder="1" applyAlignment="1">
      <alignment horizontal="center"/>
    </xf>
    <xf numFmtId="0" fontId="8" fillId="0" borderId="38" xfId="0" applyFont="1" applyBorder="1" applyAlignment="1">
      <alignment horizontal="center"/>
    </xf>
    <xf numFmtId="0" fontId="8" fillId="0" borderId="43" xfId="0" applyFont="1" applyBorder="1" applyAlignment="1">
      <alignment horizontal="center"/>
    </xf>
    <xf numFmtId="0" fontId="9" fillId="0" borderId="21" xfId="0" applyFont="1" applyBorder="1" applyAlignment="1">
      <alignment horizontal="center" wrapText="1"/>
    </xf>
    <xf numFmtId="0" fontId="9" fillId="0" borderId="22" xfId="0" applyFont="1" applyBorder="1" applyAlignment="1">
      <alignment horizontal="center" wrapText="1"/>
    </xf>
    <xf numFmtId="0" fontId="9" fillId="0" borderId="97" xfId="0" applyFont="1" applyBorder="1" applyAlignment="1">
      <alignment horizontal="center" wrapText="1"/>
    </xf>
    <xf numFmtId="0" fontId="9" fillId="0" borderId="98" xfId="0" applyFont="1" applyBorder="1" applyAlignment="1">
      <alignment horizontal="center" wrapText="1"/>
    </xf>
    <xf numFmtId="0" fontId="9" fillId="0" borderId="13" xfId="0" applyFont="1" applyBorder="1" applyAlignment="1">
      <alignment horizontal="center"/>
    </xf>
    <xf numFmtId="0" fontId="9" fillId="0" borderId="14" xfId="0" applyFont="1" applyBorder="1" applyAlignment="1">
      <alignment horizontal="center"/>
    </xf>
    <xf numFmtId="0" fontId="9" fillId="0" borderId="11" xfId="0" applyFont="1" applyBorder="1" applyAlignment="1">
      <alignment horizontal="center" wrapText="1"/>
    </xf>
    <xf numFmtId="0" fontId="9" fillId="0" borderId="12" xfId="0" applyFont="1" applyBorder="1" applyAlignment="1">
      <alignment horizontal="center" wrapText="1"/>
    </xf>
    <xf numFmtId="0" fontId="9" fillId="0" borderId="11" xfId="0" applyFont="1" applyBorder="1" applyAlignment="1">
      <alignment horizontal="center"/>
    </xf>
    <xf numFmtId="0" fontId="9" fillId="0" borderId="12" xfId="0" applyFont="1" applyBorder="1" applyAlignment="1">
      <alignment horizontal="center"/>
    </xf>
    <xf numFmtId="0" fontId="9" fillId="0" borderId="25" xfId="0" applyFont="1" applyBorder="1" applyAlignment="1">
      <alignment horizontal="center" wrapText="1"/>
    </xf>
    <xf numFmtId="0" fontId="9" fillId="0" borderId="26" xfId="0" applyFont="1" applyBorder="1" applyAlignment="1">
      <alignment horizontal="center" wrapText="1"/>
    </xf>
    <xf numFmtId="0" fontId="0" fillId="2" borderId="0" xfId="0" applyFill="1" applyBorder="1" applyAlignment="1">
      <alignment horizontal="left"/>
    </xf>
    <xf numFmtId="0" fontId="0" fillId="0" borderId="0" xfId="0" applyAlignment="1"/>
    <xf numFmtId="0" fontId="9" fillId="0" borderId="21" xfId="0" applyFont="1" applyBorder="1" applyAlignment="1">
      <alignment horizontal="center"/>
    </xf>
    <xf numFmtId="0" fontId="9" fillId="0" borderId="22" xfId="0" applyFont="1" applyBorder="1" applyAlignment="1">
      <alignment horizontal="center"/>
    </xf>
    <xf numFmtId="0" fontId="13" fillId="0" borderId="0" xfId="0" applyFont="1" applyAlignment="1">
      <alignment horizontal="center"/>
    </xf>
    <xf numFmtId="0" fontId="12" fillId="0" borderId="0" xfId="0" applyFont="1" applyAlignment="1">
      <alignment horizontal="center"/>
    </xf>
    <xf numFmtId="0" fontId="14" fillId="0" borderId="0" xfId="0" applyFont="1" applyBorder="1" applyAlignment="1">
      <alignment horizontal="center"/>
    </xf>
    <xf numFmtId="0" fontId="9" fillId="0" borderId="15" xfId="0" applyFont="1" applyBorder="1" applyAlignment="1">
      <alignment horizontal="center" vertical="center" textRotation="90"/>
    </xf>
    <xf numFmtId="0" fontId="9" fillId="0" borderId="16" xfId="0" applyFont="1" applyBorder="1" applyAlignment="1">
      <alignment horizontal="center" vertical="center" textRotation="90"/>
    </xf>
    <xf numFmtId="0" fontId="9" fillId="0" borderId="17" xfId="0" applyFont="1" applyBorder="1" applyAlignment="1">
      <alignment horizontal="center" vertical="center" textRotation="90"/>
    </xf>
    <xf numFmtId="0" fontId="0" fillId="2" borderId="5" xfId="0" applyFill="1" applyBorder="1" applyAlignment="1">
      <alignment horizontal="center"/>
    </xf>
    <xf numFmtId="0" fontId="9" fillId="0" borderId="18" xfId="0" applyFont="1" applyBorder="1" applyAlignment="1">
      <alignment horizontal="center" vertical="center"/>
    </xf>
    <xf numFmtId="0" fontId="9" fillId="0" borderId="43" xfId="0" applyFont="1" applyBorder="1" applyAlignment="1">
      <alignment horizontal="center" vertical="center"/>
    </xf>
    <xf numFmtId="0" fontId="9" fillId="0" borderId="18"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1" xfId="0" applyFont="1" applyBorder="1" applyAlignment="1">
      <alignment horizontal="center" vertical="center"/>
    </xf>
    <xf numFmtId="0" fontId="9" fillId="0" borderId="39" xfId="0" applyFont="1" applyBorder="1" applyAlignment="1">
      <alignment horizontal="center"/>
    </xf>
    <xf numFmtId="0" fontId="9" fillId="0" borderId="40" xfId="0" applyFont="1" applyBorder="1" applyAlignment="1">
      <alignment horizontal="center"/>
    </xf>
    <xf numFmtId="0" fontId="0" fillId="0" borderId="0" xfId="0" applyBorder="1" applyAlignment="1">
      <alignment horizontal="center" vertical="top"/>
    </xf>
    <xf numFmtId="2" fontId="8" fillId="0" borderId="13" xfId="0" applyNumberFormat="1" applyFont="1" applyBorder="1" applyAlignment="1">
      <alignment horizontal="center" vertical="center" textRotation="90"/>
    </xf>
    <xf numFmtId="2" fontId="0" fillId="0" borderId="65" xfId="0" applyNumberFormat="1" applyBorder="1" applyAlignment="1">
      <alignment horizontal="center" vertical="center" textRotation="90"/>
    </xf>
    <xf numFmtId="2" fontId="0" fillId="0" borderId="35" xfId="0" applyNumberFormat="1" applyBorder="1" applyAlignment="1">
      <alignment horizontal="center" vertical="center" textRotation="90"/>
    </xf>
    <xf numFmtId="0" fontId="8" fillId="0" borderId="100" xfId="0" applyFont="1" applyBorder="1" applyAlignment="1">
      <alignment horizontal="center" wrapText="1"/>
    </xf>
    <xf numFmtId="0" fontId="8" fillId="0" borderId="101" xfId="0" applyFont="1" applyBorder="1" applyAlignment="1">
      <alignment horizontal="center" wrapText="1"/>
    </xf>
    <xf numFmtId="0" fontId="8" fillId="0" borderId="102" xfId="0" applyFont="1" applyBorder="1" applyAlignment="1">
      <alignment horizontal="center" wrapText="1"/>
    </xf>
    <xf numFmtId="2" fontId="0" fillId="0" borderId="13" xfId="0" applyNumberFormat="1" applyBorder="1" applyAlignment="1">
      <alignment horizontal="center" vertical="center" textRotation="90"/>
    </xf>
    <xf numFmtId="0" fontId="8" fillId="0" borderId="39" xfId="0" applyFont="1" applyBorder="1" applyAlignment="1">
      <alignment horizontal="center"/>
    </xf>
    <xf numFmtId="0" fontId="8" fillId="0" borderId="99" xfId="0" applyFont="1" applyBorder="1" applyAlignment="1">
      <alignment horizontal="center"/>
    </xf>
    <xf numFmtId="0" fontId="8" fillId="0" borderId="27" xfId="0" applyFont="1" applyBorder="1" applyAlignment="1">
      <alignment horizontal="center"/>
    </xf>
    <xf numFmtId="0" fontId="8" fillId="0" borderId="21" xfId="0" applyFont="1" applyBorder="1" applyAlignment="1">
      <alignment horizontal="center" wrapText="1"/>
    </xf>
    <xf numFmtId="0" fontId="8" fillId="0" borderId="34" xfId="0" applyFont="1" applyBorder="1" applyAlignment="1">
      <alignment horizontal="center" wrapText="1"/>
    </xf>
    <xf numFmtId="0" fontId="8" fillId="0" borderId="31" xfId="0" applyFont="1" applyBorder="1" applyAlignment="1">
      <alignment horizontal="center" wrapText="1"/>
    </xf>
    <xf numFmtId="0" fontId="8" fillId="0" borderId="21"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61" xfId="0" applyFont="1" applyBorder="1" applyAlignment="1">
      <alignment horizontal="center" wrapText="1"/>
    </xf>
    <xf numFmtId="0" fontId="8" fillId="0" borderId="104" xfId="0" applyFont="1" applyBorder="1" applyAlignment="1">
      <alignment horizontal="center" wrapText="1"/>
    </xf>
    <xf numFmtId="0" fontId="8" fillId="0" borderId="24" xfId="0" applyFont="1" applyBorder="1" applyAlignment="1">
      <alignment horizontal="center" wrapText="1"/>
    </xf>
    <xf numFmtId="0" fontId="8" fillId="0" borderId="16" xfId="0" applyFont="1" applyBorder="1" applyAlignment="1">
      <alignment horizontal="center" wrapText="1"/>
    </xf>
    <xf numFmtId="0" fontId="8"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8" fillId="0" borderId="18" xfId="0" applyFont="1" applyFill="1" applyBorder="1" applyAlignment="1">
      <alignment horizontal="center"/>
    </xf>
    <xf numFmtId="0" fontId="0" fillId="0" borderId="38" xfId="0" applyFill="1" applyBorder="1" applyAlignment="1">
      <alignment horizontal="center"/>
    </xf>
    <xf numFmtId="0" fontId="0" fillId="0" borderId="43" xfId="0" applyFill="1" applyBorder="1" applyAlignment="1">
      <alignment horizontal="center"/>
    </xf>
    <xf numFmtId="0" fontId="19" fillId="0" borderId="0" xfId="0" applyFont="1" applyAlignment="1">
      <alignment horizontal="center"/>
    </xf>
    <xf numFmtId="189" fontId="8" fillId="0" borderId="1" xfId="0" applyNumberFormat="1" applyFont="1" applyFill="1" applyBorder="1" applyAlignment="1">
      <alignment horizontal="center" vertical="center" wrapText="1"/>
    </xf>
    <xf numFmtId="189" fontId="0" fillId="0" borderId="1" xfId="0" applyNumberFormat="1" applyFill="1" applyBorder="1" applyAlignment="1">
      <alignment horizontal="center" vertical="center" wrapText="1"/>
    </xf>
    <xf numFmtId="0" fontId="8" fillId="0" borderId="95" xfId="0" applyFont="1" applyFill="1" applyBorder="1" applyAlignment="1">
      <alignment horizontal="center" vertical="center" wrapText="1"/>
    </xf>
    <xf numFmtId="0" fontId="8" fillId="0" borderId="7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52" xfId="0" applyFont="1" applyFill="1" applyBorder="1" applyAlignment="1">
      <alignment horizontal="center" vertical="center" wrapText="1"/>
    </xf>
    <xf numFmtId="188" fontId="0" fillId="0" borderId="1" xfId="0" applyNumberFormat="1" applyFill="1" applyBorder="1" applyAlignment="1">
      <alignment horizontal="center" vertical="center" wrapText="1"/>
    </xf>
    <xf numFmtId="0" fontId="19" fillId="0" borderId="0" xfId="4" applyFont="1" applyBorder="1" applyAlignment="1">
      <alignment horizontal="left"/>
    </xf>
    <xf numFmtId="0" fontId="17" fillId="0" borderId="67" xfId="4" applyBorder="1" applyAlignment="1">
      <alignment horizontal="left"/>
    </xf>
    <xf numFmtId="0" fontId="17" fillId="0" borderId="68" xfId="4" applyBorder="1" applyAlignment="1">
      <alignment horizontal="left"/>
    </xf>
    <xf numFmtId="0" fontId="17" fillId="0" borderId="3" xfId="4" applyFont="1" applyBorder="1" applyAlignment="1">
      <alignment horizontal="center" vertical="center"/>
    </xf>
    <xf numFmtId="0" fontId="17" fillId="0" borderId="65" xfId="4" applyFont="1" applyBorder="1" applyAlignment="1">
      <alignment horizontal="center" vertical="center"/>
    </xf>
    <xf numFmtId="183" fontId="17" fillId="0" borderId="2" xfId="4" applyNumberFormat="1" applyBorder="1" applyAlignment="1">
      <alignment horizontal="center" vertical="center"/>
    </xf>
    <xf numFmtId="183" fontId="17" fillId="0" borderId="1" xfId="4" applyNumberFormat="1" applyBorder="1" applyAlignment="1">
      <alignment horizontal="center" vertical="center"/>
    </xf>
    <xf numFmtId="0" fontId="17" fillId="0" borderId="35" xfId="4" applyFont="1" applyBorder="1" applyAlignment="1">
      <alignment horizontal="center" vertical="center"/>
    </xf>
    <xf numFmtId="183" fontId="17" fillId="0" borderId="29" xfId="4" applyNumberFormat="1" applyBorder="1" applyAlignment="1">
      <alignment horizontal="center" vertical="center"/>
    </xf>
    <xf numFmtId="0" fontId="17" fillId="0" borderId="11" xfId="4" applyBorder="1" applyAlignment="1">
      <alignment horizontal="center"/>
    </xf>
    <xf numFmtId="0" fontId="17" fillId="0" borderId="25" xfId="4" applyBorder="1" applyAlignment="1">
      <alignment horizontal="center"/>
    </xf>
    <xf numFmtId="0" fontId="19" fillId="0" borderId="59" xfId="4" applyFont="1" applyBorder="1" applyAlignment="1">
      <alignment horizontal="left"/>
    </xf>
    <xf numFmtId="0" fontId="17" fillId="0" borderId="13" xfId="4" applyBorder="1" applyAlignment="1">
      <alignment horizontal="center" wrapText="1"/>
    </xf>
    <xf numFmtId="0" fontId="17" fillId="0" borderId="81" xfId="4" applyBorder="1" applyAlignment="1">
      <alignment horizontal="center" wrapText="1"/>
    </xf>
    <xf numFmtId="0" fontId="17" fillId="0" borderId="44" xfId="4" applyBorder="1" applyAlignment="1">
      <alignment horizontal="center"/>
    </xf>
    <xf numFmtId="0" fontId="17" fillId="0" borderId="65" xfId="4" applyBorder="1" applyAlignment="1">
      <alignment horizontal="center"/>
    </xf>
    <xf numFmtId="0" fontId="17" fillId="0" borderId="33" xfId="4" applyBorder="1" applyAlignment="1">
      <alignment horizontal="center"/>
    </xf>
    <xf numFmtId="0" fontId="17" fillId="0" borderId="65" xfId="4" applyBorder="1" applyAlignment="1">
      <alignment horizontal="center" vertical="center"/>
    </xf>
    <xf numFmtId="0" fontId="17" fillId="0" borderId="33" xfId="4" applyBorder="1" applyAlignment="1">
      <alignment horizontal="center" vertical="center"/>
    </xf>
    <xf numFmtId="0" fontId="17" fillId="0" borderId="35" xfId="4" applyBorder="1" applyAlignment="1">
      <alignment horizontal="center" vertical="center"/>
    </xf>
    <xf numFmtId="0" fontId="17" fillId="0" borderId="36" xfId="4" applyBorder="1" applyAlignment="1">
      <alignment horizontal="center" vertical="center"/>
    </xf>
    <xf numFmtId="0" fontId="17" fillId="0" borderId="35" xfId="4" applyBorder="1" applyAlignment="1">
      <alignment horizontal="center" wrapText="1"/>
    </xf>
    <xf numFmtId="0" fontId="17" fillId="0" borderId="29" xfId="4" applyBorder="1" applyAlignment="1">
      <alignment horizontal="center"/>
    </xf>
    <xf numFmtId="0" fontId="17" fillId="0" borderId="3" xfId="4" applyBorder="1" applyAlignment="1">
      <alignment horizontal="center"/>
    </xf>
    <xf numFmtId="0" fontId="17" fillId="0" borderId="4" xfId="4" applyBorder="1" applyAlignment="1">
      <alignment horizontal="center"/>
    </xf>
    <xf numFmtId="0" fontId="17" fillId="0" borderId="0" xfId="4" applyAlignment="1">
      <alignment horizontal="left" wrapText="1"/>
    </xf>
    <xf numFmtId="0" fontId="19" fillId="0" borderId="13" xfId="4" applyFont="1" applyBorder="1" applyAlignment="1">
      <alignment horizontal="center"/>
    </xf>
    <xf numFmtId="0" fontId="19" fillId="0" borderId="25" xfId="4" applyFont="1" applyBorder="1" applyAlignment="1">
      <alignment horizontal="center"/>
    </xf>
    <xf numFmtId="0" fontId="19" fillId="0" borderId="14" xfId="4" applyFont="1" applyBorder="1" applyAlignment="1">
      <alignment horizontal="center"/>
    </xf>
    <xf numFmtId="0" fontId="19" fillId="0" borderId="26" xfId="4" applyFont="1" applyBorder="1" applyAlignment="1">
      <alignment horizontal="center"/>
    </xf>
    <xf numFmtId="0" fontId="19" fillId="0" borderId="11" xfId="4" applyFont="1" applyBorder="1" applyAlignment="1">
      <alignment horizontal="center"/>
    </xf>
    <xf numFmtId="0" fontId="19" fillId="0" borderId="69" xfId="4" applyFont="1" applyBorder="1" applyAlignment="1">
      <alignment horizontal="center"/>
    </xf>
    <xf numFmtId="0" fontId="17" fillId="0" borderId="14" xfId="4" applyBorder="1" applyAlignment="1">
      <alignment horizontal="center"/>
    </xf>
    <xf numFmtId="0" fontId="17" fillId="0" borderId="12" xfId="4" applyBorder="1" applyAlignment="1">
      <alignment horizontal="center"/>
    </xf>
    <xf numFmtId="0" fontId="17" fillId="0" borderId="26" xfId="4" applyBorder="1" applyAlignment="1">
      <alignment horizontal="center"/>
    </xf>
    <xf numFmtId="0" fontId="17" fillId="0" borderId="51" xfId="4" applyBorder="1" applyAlignment="1">
      <alignment horizontal="center"/>
    </xf>
    <xf numFmtId="0" fontId="17" fillId="0" borderId="27" xfId="4" applyBorder="1" applyAlignment="1">
      <alignment horizontal="right"/>
    </xf>
    <xf numFmtId="0" fontId="17" fillId="0" borderId="31" xfId="4" applyBorder="1" applyAlignment="1">
      <alignment horizontal="right"/>
    </xf>
    <xf numFmtId="0" fontId="17" fillId="0" borderId="76" xfId="4" applyBorder="1" applyAlignment="1">
      <alignment horizontal="left"/>
    </xf>
    <xf numFmtId="0" fontId="17" fillId="0" borderId="77" xfId="4" applyBorder="1" applyAlignment="1">
      <alignment horizontal="left"/>
    </xf>
    <xf numFmtId="0" fontId="17" fillId="0" borderId="78" xfId="4" applyBorder="1" applyAlignment="1"/>
    <xf numFmtId="0" fontId="17" fillId="0" borderId="57" xfId="4" applyBorder="1" applyAlignment="1">
      <alignment horizontal="left"/>
    </xf>
    <xf numFmtId="0" fontId="17" fillId="0" borderId="38" xfId="4" applyBorder="1" applyAlignment="1">
      <alignment horizontal="left"/>
    </xf>
    <xf numFmtId="0" fontId="17" fillId="0" borderId="43" xfId="4" applyBorder="1" applyAlignment="1"/>
    <xf numFmtId="0" fontId="17" fillId="0" borderId="57" xfId="4" applyBorder="1" applyAlignment="1">
      <alignment horizontal="left" wrapText="1"/>
    </xf>
    <xf numFmtId="0" fontId="17" fillId="0" borderId="38" xfId="4" applyBorder="1" applyAlignment="1">
      <alignment horizontal="left" wrapText="1"/>
    </xf>
    <xf numFmtId="0" fontId="17" fillId="0" borderId="70" xfId="4" applyBorder="1" applyAlignment="1">
      <alignment horizontal="left"/>
    </xf>
    <xf numFmtId="0" fontId="17" fillId="0" borderId="71" xfId="4" applyBorder="1" applyAlignment="1">
      <alignment horizontal="left"/>
    </xf>
    <xf numFmtId="0" fontId="17" fillId="0" borderId="72" xfId="4" applyBorder="1" applyAlignment="1"/>
    <xf numFmtId="0" fontId="19" fillId="0" borderId="66" xfId="4" applyFont="1" applyBorder="1" applyAlignment="1">
      <alignment horizontal="center"/>
    </xf>
    <xf numFmtId="0" fontId="19" fillId="0" borderId="67" xfId="4" applyFont="1" applyBorder="1" applyAlignment="1">
      <alignment horizontal="center"/>
    </xf>
    <xf numFmtId="179" fontId="17" fillId="0" borderId="0" xfId="4" applyNumberFormat="1" applyAlignment="1">
      <alignment horizontal="center"/>
    </xf>
    <xf numFmtId="0" fontId="19" fillId="0" borderId="73" xfId="4" applyFont="1" applyBorder="1" applyAlignment="1">
      <alignment horizontal="center"/>
    </xf>
    <xf numFmtId="0" fontId="19" fillId="0" borderId="74" xfId="4" applyFont="1" applyBorder="1" applyAlignment="1">
      <alignment horizontal="center"/>
    </xf>
    <xf numFmtId="0" fontId="17" fillId="0" borderId="62" xfId="4" applyBorder="1" applyAlignment="1"/>
    <xf numFmtId="0" fontId="19" fillId="0" borderId="75" xfId="4" applyFont="1" applyBorder="1" applyAlignment="1">
      <alignment horizontal="center"/>
    </xf>
    <xf numFmtId="0" fontId="19" fillId="0" borderId="6" xfId="4" applyFont="1" applyBorder="1" applyAlignment="1">
      <alignment horizontal="center"/>
    </xf>
    <xf numFmtId="0" fontId="17" fillId="0" borderId="64" xfId="4" applyBorder="1" applyAlignment="1"/>
    <xf numFmtId="0" fontId="17" fillId="0" borderId="61" xfId="4" applyBorder="1" applyAlignment="1">
      <alignment horizontal="center" wrapText="1"/>
    </xf>
    <xf numFmtId="0" fontId="17" fillId="0" borderId="62" xfId="4" applyBorder="1" applyAlignment="1">
      <alignment horizontal="center" wrapText="1"/>
    </xf>
    <xf numFmtId="0" fontId="17" fillId="0" borderId="63" xfId="4" applyBorder="1" applyAlignment="1">
      <alignment horizontal="center" wrapText="1"/>
    </xf>
    <xf numFmtId="0" fontId="17" fillId="0" borderId="64" xfId="4" applyBorder="1" applyAlignment="1">
      <alignment horizontal="center" wrapText="1"/>
    </xf>
    <xf numFmtId="0" fontId="17" fillId="0" borderId="11" xfId="4" applyBorder="1" applyAlignment="1">
      <alignment horizontal="center" wrapText="1"/>
    </xf>
    <xf numFmtId="0" fontId="17" fillId="0" borderId="12" xfId="4" applyBorder="1" applyAlignment="1">
      <alignment horizontal="center" wrapText="1"/>
    </xf>
    <xf numFmtId="0" fontId="19" fillId="0" borderId="19" xfId="4" applyFont="1" applyBorder="1" applyAlignment="1">
      <alignment horizontal="center"/>
    </xf>
    <xf numFmtId="0" fontId="19" fillId="0" borderId="47" xfId="4" applyFont="1" applyBorder="1" applyAlignment="1">
      <alignment horizontal="center"/>
    </xf>
    <xf numFmtId="0" fontId="19" fillId="0" borderId="1" xfId="4" applyFont="1" applyBorder="1" applyAlignment="1">
      <alignment horizontal="right"/>
    </xf>
    <xf numFmtId="177" fontId="19" fillId="0" borderId="1" xfId="4" applyNumberFormat="1" applyFont="1" applyBorder="1" applyAlignment="1">
      <alignment horizontal="center"/>
    </xf>
    <xf numFmtId="0" fontId="19" fillId="0" borderId="1" xfId="4" applyFont="1" applyBorder="1" applyAlignment="1">
      <alignment horizontal="center"/>
    </xf>
    <xf numFmtId="0" fontId="17" fillId="0" borderId="66" xfId="4" applyBorder="1" applyAlignment="1">
      <alignment horizontal="center"/>
    </xf>
    <xf numFmtId="0" fontId="17" fillId="0" borderId="67" xfId="4" applyBorder="1" applyAlignment="1">
      <alignment horizontal="center"/>
    </xf>
    <xf numFmtId="0" fontId="19" fillId="0" borderId="68" xfId="4" applyFont="1" applyBorder="1" applyAlignment="1">
      <alignment horizontal="center"/>
    </xf>
    <xf numFmtId="0" fontId="17" fillId="0" borderId="70" xfId="4" applyBorder="1" applyAlignment="1">
      <alignment horizontal="right"/>
    </xf>
    <xf numFmtId="0" fontId="17" fillId="0" borderId="71" xfId="4" applyBorder="1" applyAlignment="1">
      <alignment horizontal="right"/>
    </xf>
    <xf numFmtId="0" fontId="17" fillId="0" borderId="72" xfId="4" applyBorder="1" applyAlignment="1">
      <alignment horizontal="right"/>
    </xf>
    <xf numFmtId="180" fontId="17" fillId="0" borderId="29" xfId="4" applyNumberFormat="1" applyBorder="1" applyAlignment="1">
      <alignment horizontal="center"/>
    </xf>
    <xf numFmtId="180" fontId="17" fillId="0" borderId="36" xfId="4" applyNumberFormat="1" applyBorder="1" applyAlignment="1">
      <alignment horizontal="center"/>
    </xf>
    <xf numFmtId="2" fontId="17" fillId="0" borderId="1" xfId="4" applyNumberFormat="1" applyBorder="1" applyAlignment="1">
      <alignment horizontal="center"/>
    </xf>
    <xf numFmtId="177" fontId="17" fillId="0" borderId="1" xfId="4" applyNumberFormat="1" applyBorder="1" applyAlignment="1">
      <alignment horizontal="center"/>
    </xf>
    <xf numFmtId="0" fontId="17" fillId="0" borderId="1" xfId="4" applyBorder="1" applyAlignment="1">
      <alignment horizontal="center"/>
    </xf>
    <xf numFmtId="0" fontId="17" fillId="0" borderId="1" xfId="4" applyBorder="1" applyAlignment="1">
      <alignment horizontal="center" wrapText="1"/>
    </xf>
    <xf numFmtId="0" fontId="17" fillId="0" borderId="0" xfId="4" applyAlignment="1">
      <alignment horizontal="center"/>
    </xf>
    <xf numFmtId="0" fontId="17" fillId="0" borderId="45" xfId="4" applyBorder="1" applyAlignment="1">
      <alignment horizontal="right"/>
    </xf>
    <xf numFmtId="0" fontId="17" fillId="0" borderId="46" xfId="4" applyBorder="1" applyAlignment="1">
      <alignment horizontal="right"/>
    </xf>
    <xf numFmtId="0" fontId="17" fillId="0" borderId="69" xfId="4" applyBorder="1" applyAlignment="1">
      <alignment horizontal="right"/>
    </xf>
    <xf numFmtId="180" fontId="17" fillId="0" borderId="19" xfId="4" applyNumberFormat="1" applyBorder="1" applyAlignment="1">
      <alignment horizontal="center"/>
    </xf>
    <xf numFmtId="180" fontId="17" fillId="0" borderId="69" xfId="4" applyNumberFormat="1" applyBorder="1" applyAlignment="1">
      <alignment horizontal="center"/>
    </xf>
    <xf numFmtId="180" fontId="17" fillId="0" borderId="47" xfId="4" applyNumberFormat="1" applyBorder="1" applyAlignment="1">
      <alignment horizontal="center"/>
    </xf>
    <xf numFmtId="177" fontId="17" fillId="0" borderId="65" xfId="4" applyNumberFormat="1" applyBorder="1" applyAlignment="1">
      <alignment horizontal="center"/>
    </xf>
    <xf numFmtId="182" fontId="17" fillId="0" borderId="35" xfId="4" applyNumberFormat="1" applyBorder="1" applyAlignment="1">
      <alignment horizontal="center"/>
    </xf>
    <xf numFmtId="182" fontId="17" fillId="0" borderId="29" xfId="4" applyNumberFormat="1" applyBorder="1" applyAlignment="1">
      <alignment horizontal="center"/>
    </xf>
    <xf numFmtId="0" fontId="17" fillId="0" borderId="0" xfId="4" applyAlignment="1">
      <alignment horizontal="left" vertical="top" wrapText="1"/>
    </xf>
    <xf numFmtId="0" fontId="17" fillId="0" borderId="65" xfId="4" applyBorder="1" applyAlignment="1">
      <alignment horizontal="left"/>
    </xf>
    <xf numFmtId="0" fontId="17" fillId="0" borderId="1" xfId="4" applyBorder="1" applyAlignment="1">
      <alignment horizontal="left"/>
    </xf>
    <xf numFmtId="0" fontId="17" fillId="0" borderId="27" xfId="4" applyBorder="1" applyAlignment="1">
      <alignment horizontal="left"/>
    </xf>
    <xf numFmtId="0" fontId="17" fillId="0" borderId="31" xfId="4" applyBorder="1" applyAlignment="1">
      <alignment horizontal="left"/>
    </xf>
    <xf numFmtId="0" fontId="17" fillId="0" borderId="13" xfId="4" applyBorder="1" applyAlignment="1">
      <alignment horizontal="center"/>
    </xf>
    <xf numFmtId="0" fontId="19" fillId="0" borderId="12" xfId="4" applyFont="1" applyBorder="1" applyAlignment="1">
      <alignment horizontal="center"/>
    </xf>
    <xf numFmtId="0" fontId="17" fillId="0" borderId="3" xfId="4" applyBorder="1" applyAlignment="1">
      <alignment horizontal="left"/>
    </xf>
    <xf numFmtId="0" fontId="17" fillId="0" borderId="2" xfId="4" applyBorder="1" applyAlignment="1">
      <alignment horizontal="left"/>
    </xf>
    <xf numFmtId="0" fontId="17" fillId="0" borderId="43" xfId="4" applyBorder="1" applyAlignment="1">
      <alignment horizontal="left"/>
    </xf>
    <xf numFmtId="180" fontId="17" fillId="0" borderId="1" xfId="4" applyNumberFormat="1" applyBorder="1" applyAlignment="1">
      <alignment horizontal="center"/>
    </xf>
    <xf numFmtId="180" fontId="17" fillId="0" borderId="33" xfId="4" applyNumberFormat="1" applyBorder="1" applyAlignment="1">
      <alignment horizontal="center"/>
    </xf>
    <xf numFmtId="0" fontId="17" fillId="0" borderId="59" xfId="4" applyBorder="1" applyAlignment="1">
      <alignment horizontal="left"/>
    </xf>
    <xf numFmtId="0" fontId="17" fillId="0" borderId="60" xfId="4" applyBorder="1" applyAlignment="1">
      <alignment horizontal="left"/>
    </xf>
    <xf numFmtId="180" fontId="17" fillId="0" borderId="31" xfId="4" applyNumberFormat="1" applyBorder="1" applyAlignment="1">
      <alignment horizontal="center"/>
    </xf>
    <xf numFmtId="180" fontId="17" fillId="0" borderId="32" xfId="4" applyNumberFormat="1" applyBorder="1" applyAlignment="1">
      <alignment horizontal="center"/>
    </xf>
    <xf numFmtId="0" fontId="17" fillId="0" borderId="23" xfId="4" applyBorder="1" applyAlignment="1">
      <alignment horizontal="left"/>
    </xf>
    <xf numFmtId="0" fontId="17" fillId="0" borderId="52" xfId="4" applyBorder="1" applyAlignment="1">
      <alignment horizontal="left"/>
    </xf>
    <xf numFmtId="180" fontId="17" fillId="0" borderId="2" xfId="4" applyNumberFormat="1" applyBorder="1" applyAlignment="1">
      <alignment horizontal="center"/>
    </xf>
    <xf numFmtId="180" fontId="17" fillId="0" borderId="4" xfId="4" applyNumberFormat="1" applyBorder="1" applyAlignment="1">
      <alignment horizontal="center"/>
    </xf>
    <xf numFmtId="0" fontId="19" fillId="0" borderId="53" xfId="4" applyFont="1" applyBorder="1" applyAlignment="1">
      <alignment horizontal="center"/>
    </xf>
    <xf numFmtId="0" fontId="19" fillId="0" borderId="54" xfId="4" applyFont="1" applyBorder="1" applyAlignment="1">
      <alignment horizontal="center"/>
    </xf>
    <xf numFmtId="0" fontId="19" fillId="0" borderId="55" xfId="4" applyFont="1" applyBorder="1" applyAlignment="1">
      <alignment horizontal="center"/>
    </xf>
    <xf numFmtId="0" fontId="17" fillId="0" borderId="20" xfId="4" applyBorder="1" applyAlignment="1">
      <alignment horizontal="center"/>
    </xf>
    <xf numFmtId="0" fontId="18" fillId="0" borderId="0" xfId="4" applyFont="1" applyAlignment="1">
      <alignment horizontal="center"/>
    </xf>
    <xf numFmtId="0" fontId="17" fillId="0" borderId="0" xfId="4" applyAlignment="1"/>
    <xf numFmtId="0" fontId="17" fillId="2" borderId="0" xfId="4" applyFill="1" applyAlignment="1">
      <alignment horizontal="center"/>
    </xf>
    <xf numFmtId="0" fontId="19" fillId="0" borderId="0" xfId="4" applyFont="1" applyAlignment="1">
      <alignment horizontal="center"/>
    </xf>
    <xf numFmtId="0" fontId="17" fillId="0" borderId="1" xfId="4" applyFill="1" applyBorder="1" applyAlignment="1">
      <alignment horizontal="center"/>
    </xf>
    <xf numFmtId="192" fontId="0" fillId="0" borderId="0" xfId="0" applyNumberFormat="1" applyAlignment="1">
      <alignment horizontal="center"/>
    </xf>
  </cellXfs>
  <cellStyles count="6">
    <cellStyle name="Euro" xfId="1"/>
    <cellStyle name="Normal" xfId="0" builtinId="0"/>
    <cellStyle name="Normal 2" xfId="3"/>
    <cellStyle name="Normal 3" xfId="4"/>
    <cellStyle name="Normal 4" xfId="5"/>
    <cellStyle name="Percent" xfId="2" builtinId="5"/>
  </cellStyles>
  <dxfs count="17">
    <dxf>
      <fill>
        <patternFill>
          <bgColor indexed="43"/>
        </patternFill>
      </fill>
    </dxf>
    <dxf>
      <fill>
        <patternFill>
          <bgColor indexed="43"/>
        </patternFill>
      </fill>
    </dxf>
    <dxf>
      <fill>
        <patternFill>
          <bgColor indexed="43"/>
        </patternFill>
      </fill>
    </dxf>
    <dxf>
      <fill>
        <patternFill>
          <bgColor indexed="43"/>
        </patternFill>
      </fill>
    </dxf>
    <dxf>
      <fill>
        <patternFill>
          <bgColor indexed="43"/>
        </patternFill>
      </fill>
    </dxf>
    <dxf>
      <fill>
        <patternFill>
          <bgColor indexed="43"/>
        </patternFill>
      </fill>
    </dxf>
    <dxf>
      <fill>
        <patternFill>
          <bgColor indexed="43"/>
        </patternFill>
      </fill>
    </dxf>
    <dxf>
      <fill>
        <patternFill patternType="none">
          <bgColor indexed="65"/>
        </patternFill>
      </fill>
    </dxf>
    <dxf>
      <fill>
        <patternFill>
          <bgColor indexed="43"/>
        </patternFill>
      </fill>
    </dxf>
    <dxf>
      <fill>
        <patternFill>
          <bgColor indexed="43"/>
        </patternFill>
      </fill>
    </dxf>
    <dxf>
      <fill>
        <patternFill>
          <bgColor indexed="43"/>
        </patternFill>
      </fill>
    </dxf>
    <dxf>
      <fill>
        <patternFill>
          <bgColor indexed="43"/>
        </patternFill>
      </fill>
    </dxf>
    <dxf>
      <fill>
        <patternFill>
          <bgColor indexed="43"/>
        </patternFill>
      </fill>
    </dxf>
    <dxf>
      <fill>
        <patternFill>
          <bgColor indexed="43"/>
        </patternFill>
      </fill>
    </dxf>
    <dxf>
      <fill>
        <patternFill>
          <bgColor indexed="43"/>
        </patternFill>
      </fill>
    </dxf>
    <dxf>
      <fill>
        <patternFill>
          <bgColor indexed="43"/>
        </patternFill>
      </fill>
    </dxf>
    <dxf>
      <fill>
        <patternFill>
          <bgColor indexed="43"/>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4</xdr:col>
      <xdr:colOff>869578</xdr:colOff>
      <xdr:row>384</xdr:row>
      <xdr:rowOff>134472</xdr:rowOff>
    </xdr:from>
    <xdr:to>
      <xdr:col>7</xdr:col>
      <xdr:colOff>833718</xdr:colOff>
      <xdr:row>384</xdr:row>
      <xdr:rowOff>398340</xdr:rowOff>
    </xdr:to>
    <xdr:pic>
      <xdr:nvPicPr>
        <xdr:cNvPr id="205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5665696" y="54532307"/>
          <a:ext cx="2447364" cy="263868"/>
        </a:xfrm>
        <a:prstGeom prst="rect">
          <a:avLst/>
        </a:prstGeom>
        <a:noFill/>
      </xdr:spPr>
    </xdr:pic>
    <xdr:clientData/>
  </xdr:twoCellAnchor>
  <xdr:twoCellAnchor editAs="oneCell">
    <xdr:from>
      <xdr:col>5</xdr:col>
      <xdr:colOff>8964</xdr:colOff>
      <xdr:row>396</xdr:row>
      <xdr:rowOff>170329</xdr:rowOff>
    </xdr:from>
    <xdr:to>
      <xdr:col>7</xdr:col>
      <xdr:colOff>860610</xdr:colOff>
      <xdr:row>396</xdr:row>
      <xdr:rowOff>434197</xdr:rowOff>
    </xdr:to>
    <xdr:pic>
      <xdr:nvPicPr>
        <xdr:cNvPr id="3"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5692588" y="56943811"/>
          <a:ext cx="2447364" cy="263868"/>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57150</xdr:colOff>
      <xdr:row>37</xdr:row>
      <xdr:rowOff>28575</xdr:rowOff>
    </xdr:from>
    <xdr:to>
      <xdr:col>8</xdr:col>
      <xdr:colOff>304149</xdr:colOff>
      <xdr:row>39</xdr:row>
      <xdr:rowOff>28540</xdr:rowOff>
    </xdr:to>
    <xdr:pic>
      <xdr:nvPicPr>
        <xdr:cNvPr id="6" name="Picture 5"/>
        <xdr:cNvPicPr>
          <a:picLocks noChangeAspect="1"/>
        </xdr:cNvPicPr>
      </xdr:nvPicPr>
      <xdr:blipFill>
        <a:blip xmlns:r="http://schemas.openxmlformats.org/officeDocument/2006/relationships" r:embed="rId1"/>
        <a:stretch>
          <a:fillRect/>
        </a:stretch>
      </xdr:blipFill>
      <xdr:spPr>
        <a:xfrm>
          <a:off x="57150" y="5410200"/>
          <a:ext cx="5209524" cy="323815"/>
        </a:xfrm>
        <a:prstGeom prst="rect">
          <a:avLst/>
        </a:prstGeom>
      </xdr:spPr>
    </xdr:pic>
    <xdr:clientData/>
  </xdr:twoCellAnchor>
  <xdr:twoCellAnchor editAs="oneCell">
    <xdr:from>
      <xdr:col>0</xdr:col>
      <xdr:colOff>76200</xdr:colOff>
      <xdr:row>39</xdr:row>
      <xdr:rowOff>123826</xdr:rowOff>
    </xdr:from>
    <xdr:to>
      <xdr:col>7</xdr:col>
      <xdr:colOff>352425</xdr:colOff>
      <xdr:row>58</xdr:row>
      <xdr:rowOff>19050</xdr:rowOff>
    </xdr:to>
    <xdr:pic>
      <xdr:nvPicPr>
        <xdr:cNvPr id="7" name="Picture 6"/>
        <xdr:cNvPicPr>
          <a:picLocks noChangeAspect="1"/>
        </xdr:cNvPicPr>
      </xdr:nvPicPr>
      <xdr:blipFill>
        <a:blip xmlns:r="http://schemas.openxmlformats.org/officeDocument/2006/relationships" r:embed="rId2"/>
        <a:stretch>
          <a:fillRect/>
        </a:stretch>
      </xdr:blipFill>
      <xdr:spPr>
        <a:xfrm>
          <a:off x="76200" y="5829301"/>
          <a:ext cx="4629150" cy="2971799"/>
        </a:xfrm>
        <a:prstGeom prst="rect">
          <a:avLst/>
        </a:prstGeom>
      </xdr:spPr>
    </xdr:pic>
    <xdr:clientData/>
  </xdr:twoCellAnchor>
  <xdr:twoCellAnchor editAs="oneCell">
    <xdr:from>
      <xdr:col>0</xdr:col>
      <xdr:colOff>47625</xdr:colOff>
      <xdr:row>6</xdr:row>
      <xdr:rowOff>19050</xdr:rowOff>
    </xdr:from>
    <xdr:to>
      <xdr:col>9</xdr:col>
      <xdr:colOff>133350</xdr:colOff>
      <xdr:row>13</xdr:row>
      <xdr:rowOff>104776</xdr:rowOff>
    </xdr:to>
    <xdr:pic>
      <xdr:nvPicPr>
        <xdr:cNvPr id="10" name="Picture 9"/>
        <xdr:cNvPicPr>
          <a:picLocks noChangeAspect="1"/>
        </xdr:cNvPicPr>
      </xdr:nvPicPr>
      <xdr:blipFill>
        <a:blip xmlns:r="http://schemas.openxmlformats.org/officeDocument/2006/relationships" r:embed="rId3"/>
        <a:stretch>
          <a:fillRect/>
        </a:stretch>
      </xdr:blipFill>
      <xdr:spPr>
        <a:xfrm>
          <a:off x="47625" y="1190625"/>
          <a:ext cx="5657850" cy="1219201"/>
        </a:xfrm>
        <a:prstGeom prst="rect">
          <a:avLst/>
        </a:prstGeom>
      </xdr:spPr>
    </xdr:pic>
    <xdr:clientData/>
  </xdr:twoCellAnchor>
  <xdr:twoCellAnchor editAs="oneCell">
    <xdr:from>
      <xdr:col>0</xdr:col>
      <xdr:colOff>47625</xdr:colOff>
      <xdr:row>13</xdr:row>
      <xdr:rowOff>133350</xdr:rowOff>
    </xdr:from>
    <xdr:to>
      <xdr:col>9</xdr:col>
      <xdr:colOff>142875</xdr:colOff>
      <xdr:row>31</xdr:row>
      <xdr:rowOff>28575</xdr:rowOff>
    </xdr:to>
    <xdr:pic>
      <xdr:nvPicPr>
        <xdr:cNvPr id="11" name="Picture 10"/>
        <xdr:cNvPicPr>
          <a:picLocks noChangeAspect="1"/>
        </xdr:cNvPicPr>
      </xdr:nvPicPr>
      <xdr:blipFill>
        <a:blip xmlns:r="http://schemas.openxmlformats.org/officeDocument/2006/relationships" r:embed="rId4"/>
        <a:stretch>
          <a:fillRect/>
        </a:stretch>
      </xdr:blipFill>
      <xdr:spPr>
        <a:xfrm>
          <a:off x="47625" y="2438400"/>
          <a:ext cx="5667375" cy="28098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190500</xdr:colOff>
      <xdr:row>18</xdr:row>
      <xdr:rowOff>95250</xdr:rowOff>
    </xdr:from>
    <xdr:to>
      <xdr:col>8</xdr:col>
      <xdr:colOff>685800</xdr:colOff>
      <xdr:row>50</xdr:row>
      <xdr:rowOff>103915</xdr:rowOff>
    </xdr:to>
    <xdr:pic>
      <xdr:nvPicPr>
        <xdr:cNvPr id="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4206240" y="3166110"/>
          <a:ext cx="2689860" cy="5738905"/>
        </a:xfrm>
        <a:prstGeom prst="rect">
          <a:avLst/>
        </a:prstGeom>
        <a:noFill/>
      </xdr:spPr>
    </xdr:pic>
    <xdr:clientData/>
  </xdr:twoCellAnchor>
  <xdr:twoCellAnchor editAs="oneCell">
    <xdr:from>
      <xdr:col>0</xdr:col>
      <xdr:colOff>174625</xdr:colOff>
      <xdr:row>140</xdr:row>
      <xdr:rowOff>47625</xdr:rowOff>
    </xdr:from>
    <xdr:to>
      <xdr:col>6</xdr:col>
      <xdr:colOff>688975</xdr:colOff>
      <xdr:row>160</xdr:row>
      <xdr:rowOff>31750</xdr:rowOff>
    </xdr:to>
    <xdr:pic>
      <xdr:nvPicPr>
        <xdr:cNvPr id="3" name="Picture 2" descr="Image001.jpg"/>
        <xdr:cNvPicPr>
          <a:picLocks noChangeAspect="1"/>
        </xdr:cNvPicPr>
      </xdr:nvPicPr>
      <xdr:blipFill>
        <a:blip xmlns:r="http://schemas.openxmlformats.org/officeDocument/2006/relationships" r:embed="rId2" cstate="print"/>
        <a:srcRect l="22981" t="30234" r="8708" b="38912"/>
        <a:stretch>
          <a:fillRect/>
        </a:stretch>
      </xdr:blipFill>
      <xdr:spPr>
        <a:xfrm>
          <a:off x="174625" y="25125045"/>
          <a:ext cx="5261610" cy="3336925"/>
        </a:xfrm>
        <a:prstGeom prst="rect">
          <a:avLst/>
        </a:prstGeom>
      </xdr:spPr>
    </xdr:pic>
    <xdr:clientData/>
  </xdr:twoCellAnchor>
  <xdr:twoCellAnchor>
    <xdr:from>
      <xdr:col>1</xdr:col>
      <xdr:colOff>809625</xdr:colOff>
      <xdr:row>275</xdr:row>
      <xdr:rowOff>76199</xdr:rowOff>
    </xdr:from>
    <xdr:to>
      <xdr:col>2</xdr:col>
      <xdr:colOff>114300</xdr:colOff>
      <xdr:row>276</xdr:row>
      <xdr:rowOff>95249</xdr:rowOff>
    </xdr:to>
    <xdr:sp macro="" textlink="">
      <xdr:nvSpPr>
        <xdr:cNvPr id="4" name="Oval 3"/>
        <xdr:cNvSpPr/>
      </xdr:nvSpPr>
      <xdr:spPr>
        <a:xfrm>
          <a:off x="1708785" y="49057559"/>
          <a:ext cx="226695" cy="18669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800099</xdr:colOff>
      <xdr:row>283</xdr:row>
      <xdr:rowOff>85724</xdr:rowOff>
    </xdr:from>
    <xdr:to>
      <xdr:col>2</xdr:col>
      <xdr:colOff>104774</xdr:colOff>
      <xdr:row>284</xdr:row>
      <xdr:rowOff>104774</xdr:rowOff>
    </xdr:to>
    <xdr:sp macro="" textlink="">
      <xdr:nvSpPr>
        <xdr:cNvPr id="5" name="Oval 4"/>
        <xdr:cNvSpPr/>
      </xdr:nvSpPr>
      <xdr:spPr>
        <a:xfrm>
          <a:off x="1699259" y="50469164"/>
          <a:ext cx="226695" cy="18669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2</xdr:col>
      <xdr:colOff>638175</xdr:colOff>
      <xdr:row>275</xdr:row>
      <xdr:rowOff>66675</xdr:rowOff>
    </xdr:from>
    <xdr:to>
      <xdr:col>3</xdr:col>
      <xdr:colOff>114300</xdr:colOff>
      <xdr:row>276</xdr:row>
      <xdr:rowOff>76200</xdr:rowOff>
    </xdr:to>
    <xdr:sp macro="" textlink="">
      <xdr:nvSpPr>
        <xdr:cNvPr id="6" name="Oval 5"/>
        <xdr:cNvSpPr/>
      </xdr:nvSpPr>
      <xdr:spPr>
        <a:xfrm>
          <a:off x="2459355" y="49048035"/>
          <a:ext cx="207645" cy="17716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2</xdr:col>
      <xdr:colOff>628650</xdr:colOff>
      <xdr:row>279</xdr:row>
      <xdr:rowOff>95250</xdr:rowOff>
    </xdr:from>
    <xdr:to>
      <xdr:col>3</xdr:col>
      <xdr:colOff>104775</xdr:colOff>
      <xdr:row>280</xdr:row>
      <xdr:rowOff>104775</xdr:rowOff>
    </xdr:to>
    <xdr:sp macro="" textlink="">
      <xdr:nvSpPr>
        <xdr:cNvPr id="7" name="Oval 6"/>
        <xdr:cNvSpPr/>
      </xdr:nvSpPr>
      <xdr:spPr>
        <a:xfrm>
          <a:off x="2449830" y="49777650"/>
          <a:ext cx="207645" cy="17716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2</xdr:col>
      <xdr:colOff>609600</xdr:colOff>
      <xdr:row>283</xdr:row>
      <xdr:rowOff>85725</xdr:rowOff>
    </xdr:from>
    <xdr:to>
      <xdr:col>3</xdr:col>
      <xdr:colOff>85725</xdr:colOff>
      <xdr:row>284</xdr:row>
      <xdr:rowOff>95250</xdr:rowOff>
    </xdr:to>
    <xdr:sp macro="" textlink="">
      <xdr:nvSpPr>
        <xdr:cNvPr id="8" name="Oval 7"/>
        <xdr:cNvSpPr/>
      </xdr:nvSpPr>
      <xdr:spPr>
        <a:xfrm>
          <a:off x="2430780" y="50469165"/>
          <a:ext cx="207645" cy="17716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2</xdr:col>
      <xdr:colOff>390525</xdr:colOff>
      <xdr:row>274</xdr:row>
      <xdr:rowOff>114301</xdr:rowOff>
    </xdr:from>
    <xdr:to>
      <xdr:col>2</xdr:col>
      <xdr:colOff>400050</xdr:colOff>
      <xdr:row>286</xdr:row>
      <xdr:rowOff>19051</xdr:rowOff>
    </xdr:to>
    <xdr:cxnSp macro="">
      <xdr:nvCxnSpPr>
        <xdr:cNvPr id="9" name="Straight Connector 8"/>
        <xdr:cNvCxnSpPr/>
      </xdr:nvCxnSpPr>
      <xdr:spPr>
        <a:xfrm rot="5400000">
          <a:off x="1227773" y="49911953"/>
          <a:ext cx="1977390" cy="95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274</xdr:row>
      <xdr:rowOff>95251</xdr:rowOff>
    </xdr:from>
    <xdr:to>
      <xdr:col>2</xdr:col>
      <xdr:colOff>9525</xdr:colOff>
      <xdr:row>286</xdr:row>
      <xdr:rowOff>1</xdr:rowOff>
    </xdr:to>
    <xdr:cxnSp macro="">
      <xdr:nvCxnSpPr>
        <xdr:cNvPr id="10" name="Straight Connector 9"/>
        <xdr:cNvCxnSpPr/>
      </xdr:nvCxnSpPr>
      <xdr:spPr>
        <a:xfrm rot="5400000">
          <a:off x="837248" y="49892903"/>
          <a:ext cx="1977390" cy="95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0</xdr:colOff>
      <xdr:row>274</xdr:row>
      <xdr:rowOff>123826</xdr:rowOff>
    </xdr:from>
    <xdr:to>
      <xdr:col>3</xdr:col>
      <xdr:colOff>9525</xdr:colOff>
      <xdr:row>286</xdr:row>
      <xdr:rowOff>28576</xdr:rowOff>
    </xdr:to>
    <xdr:cxnSp macro="">
      <xdr:nvCxnSpPr>
        <xdr:cNvPr id="11" name="Straight Connector 10"/>
        <xdr:cNvCxnSpPr/>
      </xdr:nvCxnSpPr>
      <xdr:spPr>
        <a:xfrm rot="5400000">
          <a:off x="1568768" y="49921478"/>
          <a:ext cx="1977390" cy="95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9526</xdr:colOff>
      <xdr:row>277</xdr:row>
      <xdr:rowOff>190501</xdr:rowOff>
    </xdr:from>
    <xdr:to>
      <xdr:col>3</xdr:col>
      <xdr:colOff>628653</xdr:colOff>
      <xdr:row>278</xdr:row>
      <xdr:rowOff>3</xdr:rowOff>
    </xdr:to>
    <xdr:cxnSp macro="">
      <xdr:nvCxnSpPr>
        <xdr:cNvPr id="12" name="Straight Arrow Connector 11"/>
        <xdr:cNvCxnSpPr/>
      </xdr:nvCxnSpPr>
      <xdr:spPr>
        <a:xfrm rot="10800000">
          <a:off x="2562226" y="49507141"/>
          <a:ext cx="619127" cy="7622"/>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47625</xdr:colOff>
      <xdr:row>278</xdr:row>
      <xdr:rowOff>0</xdr:rowOff>
    </xdr:from>
    <xdr:to>
      <xdr:col>2</xdr:col>
      <xdr:colOff>28575</xdr:colOff>
      <xdr:row>278</xdr:row>
      <xdr:rowOff>9525</xdr:rowOff>
    </xdr:to>
    <xdr:cxnSp macro="">
      <xdr:nvCxnSpPr>
        <xdr:cNvPr id="13" name="Straight Arrow Connector 12"/>
        <xdr:cNvCxnSpPr/>
      </xdr:nvCxnSpPr>
      <xdr:spPr>
        <a:xfrm flipV="1">
          <a:off x="946785" y="49514760"/>
          <a:ext cx="902970" cy="952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278</xdr:row>
      <xdr:rowOff>0</xdr:rowOff>
    </xdr:from>
    <xdr:to>
      <xdr:col>3</xdr:col>
      <xdr:colOff>19050</xdr:colOff>
      <xdr:row>278</xdr:row>
      <xdr:rowOff>0</xdr:rowOff>
    </xdr:to>
    <xdr:cxnSp macro="">
      <xdr:nvCxnSpPr>
        <xdr:cNvPr id="14" name="Straight Connector 13"/>
        <xdr:cNvCxnSpPr/>
      </xdr:nvCxnSpPr>
      <xdr:spPr>
        <a:xfrm>
          <a:off x="1821180" y="49514760"/>
          <a:ext cx="75057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323850</xdr:colOff>
      <xdr:row>277</xdr:row>
      <xdr:rowOff>104775</xdr:rowOff>
    </xdr:from>
    <xdr:to>
      <xdr:col>2</xdr:col>
      <xdr:colOff>457200</xdr:colOff>
      <xdr:row>278</xdr:row>
      <xdr:rowOff>47625</xdr:rowOff>
    </xdr:to>
    <xdr:cxnSp macro="">
      <xdr:nvCxnSpPr>
        <xdr:cNvPr id="15" name="Straight Connector 14"/>
        <xdr:cNvCxnSpPr/>
      </xdr:nvCxnSpPr>
      <xdr:spPr>
        <a:xfrm flipV="1">
          <a:off x="2145030" y="49421415"/>
          <a:ext cx="133350" cy="14097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457200</xdr:colOff>
      <xdr:row>281</xdr:row>
      <xdr:rowOff>95250</xdr:rowOff>
    </xdr:from>
    <xdr:to>
      <xdr:col>2</xdr:col>
      <xdr:colOff>9525</xdr:colOff>
      <xdr:row>281</xdr:row>
      <xdr:rowOff>96838</xdr:rowOff>
    </xdr:to>
    <xdr:cxnSp macro="">
      <xdr:nvCxnSpPr>
        <xdr:cNvPr id="16" name="Straight Arrow Connector 15"/>
        <xdr:cNvCxnSpPr/>
      </xdr:nvCxnSpPr>
      <xdr:spPr>
        <a:xfrm>
          <a:off x="1356360" y="50112930"/>
          <a:ext cx="474345" cy="1588"/>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9528</xdr:colOff>
      <xdr:row>278</xdr:row>
      <xdr:rowOff>152402</xdr:rowOff>
    </xdr:from>
    <xdr:to>
      <xdr:col>3</xdr:col>
      <xdr:colOff>342901</xdr:colOff>
      <xdr:row>279</xdr:row>
      <xdr:rowOff>85725</xdr:rowOff>
    </xdr:to>
    <xdr:cxnSp macro="">
      <xdr:nvCxnSpPr>
        <xdr:cNvPr id="17" name="Straight Arrow Connector 16"/>
        <xdr:cNvCxnSpPr/>
      </xdr:nvCxnSpPr>
      <xdr:spPr>
        <a:xfrm rot="10800000">
          <a:off x="2562228" y="49667162"/>
          <a:ext cx="333373" cy="100963"/>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400051</xdr:colOff>
      <xdr:row>281</xdr:row>
      <xdr:rowOff>114301</xdr:rowOff>
    </xdr:from>
    <xdr:to>
      <xdr:col>3</xdr:col>
      <xdr:colOff>285751</xdr:colOff>
      <xdr:row>282</xdr:row>
      <xdr:rowOff>95251</xdr:rowOff>
    </xdr:to>
    <xdr:cxnSp macro="">
      <xdr:nvCxnSpPr>
        <xdr:cNvPr id="18" name="Straight Arrow Connector 17"/>
        <xdr:cNvCxnSpPr/>
      </xdr:nvCxnSpPr>
      <xdr:spPr>
        <a:xfrm rot="10800000">
          <a:off x="2221231" y="50131981"/>
          <a:ext cx="617220" cy="14859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R38"/>
  <sheetViews>
    <sheetView zoomScale="70" zoomScaleNormal="70" workbookViewId="0">
      <selection activeCell="I44" sqref="I44"/>
    </sheetView>
  </sheetViews>
  <sheetFormatPr defaultColWidth="8.85546875" defaultRowHeight="15" x14ac:dyDescent="0.25"/>
  <cols>
    <col min="1" max="1" width="8.85546875" style="318" customWidth="1"/>
    <col min="2" max="2" width="13.85546875" style="318" customWidth="1"/>
    <col min="3" max="3" width="96.140625" style="318" customWidth="1"/>
    <col min="4" max="4" width="11.5703125" style="318" customWidth="1"/>
    <col min="5" max="5" width="8.85546875" style="318"/>
    <col min="6" max="6" width="13.5703125" style="318" customWidth="1"/>
    <col min="7" max="7" width="23.5703125" style="318" customWidth="1"/>
    <col min="8" max="16384" width="8.85546875" style="318"/>
  </cols>
  <sheetData>
    <row r="1" spans="1:18" ht="18.75" x14ac:dyDescent="0.3">
      <c r="A1" s="628" t="s">
        <v>81</v>
      </c>
      <c r="B1" s="628"/>
      <c r="C1" s="628"/>
      <c r="D1" s="628"/>
      <c r="E1" s="628"/>
      <c r="F1" s="628"/>
      <c r="G1" s="628"/>
    </row>
    <row r="2" spans="1:18" x14ac:dyDescent="0.25">
      <c r="A2" s="629" t="s">
        <v>513</v>
      </c>
      <c r="B2" s="629"/>
      <c r="C2" s="629"/>
      <c r="D2" s="629"/>
      <c r="E2" s="629"/>
      <c r="F2" s="629"/>
      <c r="G2" s="629"/>
    </row>
    <row r="3" spans="1:18" x14ac:dyDescent="0.25">
      <c r="A3" s="630" t="s">
        <v>709</v>
      </c>
      <c r="B3" s="631"/>
      <c r="C3" s="631"/>
      <c r="D3" s="631"/>
      <c r="E3" s="631"/>
      <c r="F3" s="631"/>
      <c r="G3" s="631"/>
    </row>
    <row r="4" spans="1:18" ht="15.75" thickBot="1" x14ac:dyDescent="0.3">
      <c r="A4" s="632" t="s">
        <v>692</v>
      </c>
      <c r="B4" s="631"/>
      <c r="C4" s="631"/>
      <c r="D4" s="631"/>
      <c r="E4" s="631"/>
      <c r="F4" s="631"/>
      <c r="G4" s="631"/>
    </row>
    <row r="5" spans="1:18" ht="30" x14ac:dyDescent="0.25">
      <c r="A5" s="479" t="s">
        <v>514</v>
      </c>
      <c r="B5" s="480" t="s">
        <v>515</v>
      </c>
      <c r="C5" s="476" t="s">
        <v>516</v>
      </c>
      <c r="D5" s="477" t="s">
        <v>517</v>
      </c>
      <c r="E5" s="481" t="s">
        <v>518</v>
      </c>
      <c r="F5" s="478" t="s">
        <v>519</v>
      </c>
      <c r="G5" s="482" t="s">
        <v>520</v>
      </c>
      <c r="Q5" s="320"/>
      <c r="R5" s="320"/>
    </row>
    <row r="6" spans="1:18" x14ac:dyDescent="0.25">
      <c r="A6" s="321" t="s">
        <v>521</v>
      </c>
      <c r="B6" s="322" t="s">
        <v>671</v>
      </c>
      <c r="C6" s="323" t="s">
        <v>672</v>
      </c>
      <c r="D6" s="324">
        <f>Quantities!D3</f>
        <v>1</v>
      </c>
      <c r="E6" s="325" t="s">
        <v>522</v>
      </c>
      <c r="F6" s="326">
        <f>Quantities!C34</f>
        <v>420000</v>
      </c>
      <c r="G6" s="327">
        <f t="shared" ref="G6:G8" si="0">ROUND(D6*F6,-2)</f>
        <v>420000</v>
      </c>
    </row>
    <row r="7" spans="1:18" hidden="1" x14ac:dyDescent="0.25">
      <c r="A7" s="321" t="s">
        <v>523</v>
      </c>
      <c r="B7" s="322" t="s">
        <v>524</v>
      </c>
      <c r="C7" s="323" t="s">
        <v>525</v>
      </c>
      <c r="D7" s="324">
        <f>Quantities!D4</f>
        <v>0</v>
      </c>
      <c r="E7" s="325" t="s">
        <v>526</v>
      </c>
      <c r="F7" s="326">
        <v>11</v>
      </c>
      <c r="G7" s="327">
        <f t="shared" si="0"/>
        <v>0</v>
      </c>
    </row>
    <row r="8" spans="1:18" x14ac:dyDescent="0.25">
      <c r="A8" s="321" t="s">
        <v>527</v>
      </c>
      <c r="B8" s="322" t="s">
        <v>528</v>
      </c>
      <c r="C8" s="323" t="s">
        <v>529</v>
      </c>
      <c r="D8" s="324">
        <v>1</v>
      </c>
      <c r="E8" s="325" t="s">
        <v>522</v>
      </c>
      <c r="F8" s="326">
        <v>20000</v>
      </c>
      <c r="G8" s="327">
        <f t="shared" si="0"/>
        <v>20000</v>
      </c>
    </row>
    <row r="9" spans="1:18" x14ac:dyDescent="0.25">
      <c r="A9" s="321" t="s">
        <v>530</v>
      </c>
      <c r="B9" s="322" t="s">
        <v>531</v>
      </c>
      <c r="C9" s="323" t="s">
        <v>532</v>
      </c>
      <c r="D9" s="324">
        <f>Quantities!D6</f>
        <v>40</v>
      </c>
      <c r="E9" s="325" t="s">
        <v>533</v>
      </c>
      <c r="F9" s="326">
        <v>113</v>
      </c>
      <c r="G9" s="327">
        <f>ROUND(D9*F9,-2)</f>
        <v>4500</v>
      </c>
      <c r="P9" s="328"/>
      <c r="R9" s="328"/>
    </row>
    <row r="10" spans="1:18" x14ac:dyDescent="0.25">
      <c r="A10" s="321" t="s">
        <v>530</v>
      </c>
      <c r="B10" s="322" t="s">
        <v>534</v>
      </c>
      <c r="C10" s="323" t="s">
        <v>535</v>
      </c>
      <c r="D10" s="324" t="e">
        <f>Quantities!D7</f>
        <v>#REF!</v>
      </c>
      <c r="E10" s="325" t="s">
        <v>536</v>
      </c>
      <c r="F10" s="326">
        <v>12</v>
      </c>
      <c r="G10" s="327" t="e">
        <f>ROUND(D10*F10,-2)</f>
        <v>#REF!</v>
      </c>
      <c r="P10" s="328"/>
      <c r="R10" s="328"/>
    </row>
    <row r="11" spans="1:18" x14ac:dyDescent="0.25">
      <c r="A11" s="321">
        <v>507</v>
      </c>
      <c r="B11" s="322" t="s">
        <v>537</v>
      </c>
      <c r="C11" s="323" t="s">
        <v>538</v>
      </c>
      <c r="D11" s="324" t="e">
        <f>Quantities!D8</f>
        <v>#REF!</v>
      </c>
      <c r="E11" s="325" t="s">
        <v>536</v>
      </c>
      <c r="F11" s="326">
        <v>38</v>
      </c>
      <c r="G11" s="327" t="e">
        <f t="shared" ref="G11:G23" si="1">ROUND(D11*F11,-2)</f>
        <v>#REF!</v>
      </c>
    </row>
    <row r="12" spans="1:18" x14ac:dyDescent="0.25">
      <c r="A12" s="321" t="s">
        <v>539</v>
      </c>
      <c r="B12" s="322" t="s">
        <v>524</v>
      </c>
      <c r="C12" s="323" t="s">
        <v>540</v>
      </c>
      <c r="D12" s="329" t="e">
        <f>Quantities!D9</f>
        <v>#REF!</v>
      </c>
      <c r="E12" s="325" t="s">
        <v>541</v>
      </c>
      <c r="F12" s="326">
        <v>1.25</v>
      </c>
      <c r="G12" s="327" t="e">
        <f t="shared" si="1"/>
        <v>#REF!</v>
      </c>
      <c r="R12" s="328"/>
    </row>
    <row r="13" spans="1:18" x14ac:dyDescent="0.25">
      <c r="A13" s="321" t="s">
        <v>542</v>
      </c>
      <c r="B13" s="322" t="s">
        <v>543</v>
      </c>
      <c r="C13" s="323" t="s">
        <v>544</v>
      </c>
      <c r="D13" s="329">
        <f>Quantities!D10</f>
        <v>7</v>
      </c>
      <c r="E13" s="325" t="s">
        <v>533</v>
      </c>
      <c r="F13" s="326">
        <v>110</v>
      </c>
      <c r="G13" s="327">
        <f t="shared" si="1"/>
        <v>800</v>
      </c>
      <c r="R13" s="328"/>
    </row>
    <row r="14" spans="1:18" x14ac:dyDescent="0.25">
      <c r="A14" s="321" t="s">
        <v>545</v>
      </c>
      <c r="B14" s="322" t="s">
        <v>546</v>
      </c>
      <c r="C14" s="323" t="s">
        <v>547</v>
      </c>
      <c r="D14" s="329" t="e">
        <f>Quantities!D11</f>
        <v>#REF!</v>
      </c>
      <c r="E14" s="325" t="s">
        <v>526</v>
      </c>
      <c r="F14" s="326">
        <v>70</v>
      </c>
      <c r="G14" s="327" t="e">
        <f t="shared" si="1"/>
        <v>#REF!</v>
      </c>
      <c r="R14" s="328"/>
    </row>
    <row r="15" spans="1:18" x14ac:dyDescent="0.25">
      <c r="A15" s="321" t="s">
        <v>548</v>
      </c>
      <c r="B15" s="322" t="s">
        <v>549</v>
      </c>
      <c r="C15" s="323" t="s">
        <v>550</v>
      </c>
      <c r="D15" s="324" t="e">
        <f>Quantities!D12</f>
        <v>#REF!</v>
      </c>
      <c r="E15" s="325" t="s">
        <v>526</v>
      </c>
      <c r="F15" s="326">
        <v>1150</v>
      </c>
      <c r="G15" s="327" t="e">
        <f t="shared" si="1"/>
        <v>#REF!</v>
      </c>
      <c r="R15" s="328"/>
    </row>
    <row r="16" spans="1:18" x14ac:dyDescent="0.25">
      <c r="A16" s="321" t="s">
        <v>548</v>
      </c>
      <c r="B16" s="322" t="s">
        <v>551</v>
      </c>
      <c r="C16" s="323" t="s">
        <v>552</v>
      </c>
      <c r="D16" s="324">
        <f>Quantities!D13</f>
        <v>176.05254777777776</v>
      </c>
      <c r="E16" s="325" t="s">
        <v>526</v>
      </c>
      <c r="F16" s="326">
        <v>620</v>
      </c>
      <c r="G16" s="327">
        <f t="shared" si="1"/>
        <v>109200</v>
      </c>
      <c r="R16" s="328"/>
    </row>
    <row r="17" spans="1:18" x14ac:dyDescent="0.25">
      <c r="A17" s="321" t="s">
        <v>548</v>
      </c>
      <c r="B17" s="322" t="s">
        <v>553</v>
      </c>
      <c r="C17" s="323" t="s">
        <v>554</v>
      </c>
      <c r="D17" s="324">
        <f>Quantities!D14</f>
        <v>44.553600000000003</v>
      </c>
      <c r="E17" s="325" t="s">
        <v>526</v>
      </c>
      <c r="F17" s="326">
        <v>620</v>
      </c>
      <c r="G17" s="327">
        <f t="shared" si="1"/>
        <v>27600</v>
      </c>
      <c r="R17" s="328"/>
    </row>
    <row r="18" spans="1:18" x14ac:dyDescent="0.25">
      <c r="A18" s="321" t="s">
        <v>548</v>
      </c>
      <c r="B18" s="322" t="s">
        <v>555</v>
      </c>
      <c r="C18" s="323" t="s">
        <v>556</v>
      </c>
      <c r="D18" s="324" t="e">
        <f>Quantities!D15</f>
        <v>#REF!</v>
      </c>
      <c r="E18" s="325" t="s">
        <v>526</v>
      </c>
      <c r="F18" s="326">
        <v>700</v>
      </c>
      <c r="G18" s="327" t="e">
        <f t="shared" si="1"/>
        <v>#REF!</v>
      </c>
      <c r="R18" s="328"/>
    </row>
    <row r="19" spans="1:18" x14ac:dyDescent="0.25">
      <c r="A19" s="321" t="s">
        <v>557</v>
      </c>
      <c r="B19" s="322" t="s">
        <v>558</v>
      </c>
      <c r="C19" s="323" t="s">
        <v>559</v>
      </c>
      <c r="D19" s="324" t="e">
        <f>Quantities!D16</f>
        <v>#REF!</v>
      </c>
      <c r="E19" s="325" t="s">
        <v>560</v>
      </c>
      <c r="F19" s="326">
        <v>19.3</v>
      </c>
      <c r="G19" s="327" t="e">
        <f t="shared" si="1"/>
        <v>#REF!</v>
      </c>
      <c r="R19" s="328"/>
    </row>
    <row r="20" spans="1:18" x14ac:dyDescent="0.25">
      <c r="A20" s="321" t="s">
        <v>561</v>
      </c>
      <c r="B20" s="466" t="s">
        <v>694</v>
      </c>
      <c r="C20" s="465" t="s">
        <v>693</v>
      </c>
      <c r="D20" s="324">
        <f>Quantities!D17</f>
        <v>7</v>
      </c>
      <c r="E20" s="325" t="s">
        <v>533</v>
      </c>
      <c r="F20" s="326">
        <f>17900+3000</f>
        <v>20900</v>
      </c>
      <c r="G20" s="327">
        <f t="shared" si="1"/>
        <v>146300</v>
      </c>
      <c r="R20" s="328"/>
    </row>
    <row r="21" spans="1:18" x14ac:dyDescent="0.25">
      <c r="A21" s="321" t="s">
        <v>561</v>
      </c>
      <c r="B21" s="322" t="s">
        <v>564</v>
      </c>
      <c r="C21" s="323" t="s">
        <v>565</v>
      </c>
      <c r="D21" s="324">
        <f>Quantities!D18</f>
        <v>12</v>
      </c>
      <c r="E21" s="325" t="s">
        <v>533</v>
      </c>
      <c r="F21" s="326">
        <v>1300</v>
      </c>
      <c r="G21" s="327">
        <f t="shared" si="1"/>
        <v>15600</v>
      </c>
    </row>
    <row r="22" spans="1:18" x14ac:dyDescent="0.25">
      <c r="A22" s="321" t="s">
        <v>566</v>
      </c>
      <c r="B22" s="322" t="s">
        <v>564</v>
      </c>
      <c r="C22" s="473" t="s">
        <v>704</v>
      </c>
      <c r="D22" s="324">
        <f>Quantities!D19</f>
        <v>0</v>
      </c>
      <c r="E22" s="325" t="s">
        <v>568</v>
      </c>
      <c r="F22" s="326">
        <v>90</v>
      </c>
      <c r="G22" s="327">
        <f t="shared" si="1"/>
        <v>0</v>
      </c>
    </row>
    <row r="23" spans="1:18" ht="15.75" thickBot="1" x14ac:dyDescent="0.3">
      <c r="A23" s="330" t="s">
        <v>569</v>
      </c>
      <c r="B23" s="331" t="s">
        <v>661</v>
      </c>
      <c r="C23" s="332" t="s">
        <v>659</v>
      </c>
      <c r="D23" s="333">
        <f>Quantities!D20</f>
        <v>411</v>
      </c>
      <c r="E23" s="334" t="s">
        <v>560</v>
      </c>
      <c r="F23" s="335">
        <v>255.11</v>
      </c>
      <c r="G23" s="336">
        <f t="shared" si="1"/>
        <v>104900</v>
      </c>
      <c r="R23" s="328"/>
    </row>
    <row r="24" spans="1:18" ht="15.75" thickTop="1" x14ac:dyDescent="0.25">
      <c r="A24" s="337"/>
      <c r="B24" s="338"/>
      <c r="C24" s="337"/>
      <c r="D24" s="633" t="s">
        <v>570</v>
      </c>
      <c r="E24" s="634"/>
      <c r="F24" s="635"/>
      <c r="G24" s="339" t="e">
        <f>SUM(G6:G23)</f>
        <v>#REF!</v>
      </c>
    </row>
    <row r="25" spans="1:18" x14ac:dyDescent="0.25">
      <c r="A25" s="340"/>
      <c r="B25" s="341"/>
      <c r="C25" s="340"/>
      <c r="D25" s="636" t="s">
        <v>571</v>
      </c>
      <c r="E25" s="637"/>
      <c r="F25" s="342">
        <v>0.05</v>
      </c>
      <c r="G25" s="327" t="e">
        <f>F25*G24</f>
        <v>#REF!</v>
      </c>
    </row>
    <row r="26" spans="1:18" ht="15.75" thickBot="1" x14ac:dyDescent="0.3">
      <c r="A26" s="343"/>
      <c r="B26" s="344"/>
      <c r="C26" s="343"/>
      <c r="D26" s="623" t="s">
        <v>572</v>
      </c>
      <c r="E26" s="624"/>
      <c r="F26" s="345">
        <v>0.2</v>
      </c>
      <c r="G26" s="346" t="e">
        <f>(G24+G25)*F26</f>
        <v>#REF!</v>
      </c>
    </row>
    <row r="27" spans="1:18" ht="19.5" thickBot="1" x14ac:dyDescent="0.35">
      <c r="A27" s="347" t="s">
        <v>573</v>
      </c>
      <c r="B27" s="348"/>
      <c r="C27" s="347"/>
      <c r="D27" s="347"/>
      <c r="E27" s="348"/>
      <c r="F27" s="349" t="s">
        <v>574</v>
      </c>
      <c r="G27" s="350" t="e">
        <f>ROUND(SUM(G24:G26),-3)</f>
        <v>#REF!</v>
      </c>
    </row>
    <row r="28" spans="1:18" ht="15.75" thickBot="1" x14ac:dyDescent="0.3"/>
    <row r="29" spans="1:18" ht="15.75" thickBot="1" x14ac:dyDescent="0.3">
      <c r="C29" s="318" t="s">
        <v>575</v>
      </c>
      <c r="D29" s="625" t="s">
        <v>576</v>
      </c>
      <c r="E29" s="626"/>
      <c r="F29" s="627"/>
      <c r="G29" s="474" t="s">
        <v>705</v>
      </c>
    </row>
    <row r="30" spans="1:18" ht="15.75" thickBot="1" x14ac:dyDescent="0.3">
      <c r="C30" s="475" t="s">
        <v>708</v>
      </c>
      <c r="F30" s="352"/>
    </row>
    <row r="31" spans="1:18" ht="15.75" thickBot="1" x14ac:dyDescent="0.3">
      <c r="C31" s="475" t="s">
        <v>706</v>
      </c>
      <c r="D31" s="625" t="s">
        <v>577</v>
      </c>
      <c r="E31" s="626"/>
      <c r="F31" s="627"/>
      <c r="G31" s="351">
        <v>2013</v>
      </c>
    </row>
    <row r="32" spans="1:18" ht="15.75" thickBot="1" x14ac:dyDescent="0.3">
      <c r="C32" s="475" t="s">
        <v>707</v>
      </c>
      <c r="F32" s="352"/>
    </row>
    <row r="33" spans="1:7" ht="15.75" thickBot="1" x14ac:dyDescent="0.3">
      <c r="D33" s="625" t="s">
        <v>578</v>
      </c>
      <c r="E33" s="626"/>
      <c r="F33" s="627"/>
      <c r="G33" s="474" t="s">
        <v>705</v>
      </c>
    </row>
    <row r="35" spans="1:7" x14ac:dyDescent="0.25">
      <c r="G35" s="353"/>
    </row>
    <row r="38" spans="1:7" x14ac:dyDescent="0.25">
      <c r="A38" s="463"/>
      <c r="B38" s="464"/>
      <c r="C38" s="463"/>
      <c r="D38" s="463"/>
      <c r="E38" s="441"/>
      <c r="F38" s="441"/>
      <c r="G38" s="441"/>
    </row>
  </sheetData>
  <mergeCells count="10">
    <mergeCell ref="D26:E26"/>
    <mergeCell ref="D29:F29"/>
    <mergeCell ref="D31:F31"/>
    <mergeCell ref="D33:F33"/>
    <mergeCell ref="A1:G1"/>
    <mergeCell ref="A2:G2"/>
    <mergeCell ref="A3:G3"/>
    <mergeCell ref="A4:G4"/>
    <mergeCell ref="D24:F24"/>
    <mergeCell ref="D25:E25"/>
  </mergeCells>
  <printOptions horizontalCentered="1"/>
  <pageMargins left="0.7" right="0.7" top="0.75" bottom="0.75" header="0.3" footer="0.3"/>
  <pageSetup paperSize="11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D398"/>
  <sheetViews>
    <sheetView zoomScaleNormal="100" workbookViewId="0">
      <selection activeCell="M42" sqref="M42"/>
    </sheetView>
  </sheetViews>
  <sheetFormatPr defaultRowHeight="12.75" x14ac:dyDescent="0.2"/>
  <cols>
    <col min="1" max="1" width="13.7109375" customWidth="1"/>
    <col min="2" max="2" width="13.28515625" customWidth="1"/>
    <col min="3" max="3" width="33.7109375" customWidth="1"/>
    <col min="4" max="4" width="15.28515625" customWidth="1"/>
    <col min="5" max="5" width="12.85546875" customWidth="1"/>
    <col min="6" max="6" width="12.28515625" customWidth="1"/>
    <col min="7" max="7" width="11" customWidth="1"/>
    <col min="8" max="8" width="13.5703125" customWidth="1"/>
    <col min="9" max="10" width="11.5703125" customWidth="1"/>
  </cols>
  <sheetData>
    <row r="1" spans="1:7" ht="13.5" thickBot="1" x14ac:dyDescent="0.25">
      <c r="D1" s="94" t="s">
        <v>656</v>
      </c>
      <c r="E1" s="94" t="s">
        <v>657</v>
      </c>
    </row>
    <row r="2" spans="1:7" ht="30" x14ac:dyDescent="0.25">
      <c r="A2" s="321" t="s">
        <v>514</v>
      </c>
      <c r="B2" s="322" t="s">
        <v>579</v>
      </c>
      <c r="C2" s="323" t="s">
        <v>516</v>
      </c>
      <c r="D2" s="319" t="s">
        <v>517</v>
      </c>
      <c r="E2" s="319" t="s">
        <v>517</v>
      </c>
      <c r="F2" s="325" t="s">
        <v>518</v>
      </c>
    </row>
    <row r="3" spans="1:7" ht="30" x14ac:dyDescent="0.25">
      <c r="A3" s="359" t="s">
        <v>521</v>
      </c>
      <c r="B3" s="444" t="s">
        <v>671</v>
      </c>
      <c r="C3" s="434" t="s">
        <v>672</v>
      </c>
      <c r="D3" s="447">
        <v>1</v>
      </c>
      <c r="E3" s="447">
        <v>1</v>
      </c>
      <c r="F3" s="361" t="s">
        <v>522</v>
      </c>
      <c r="G3" s="39" t="s">
        <v>673</v>
      </c>
    </row>
    <row r="4" spans="1:7" ht="15" x14ac:dyDescent="0.25">
      <c r="A4" s="321" t="s">
        <v>523</v>
      </c>
      <c r="B4" s="322" t="s">
        <v>524</v>
      </c>
      <c r="C4" s="357" t="s">
        <v>525</v>
      </c>
      <c r="D4" s="324"/>
      <c r="E4" s="324"/>
      <c r="F4" s="325" t="s">
        <v>526</v>
      </c>
    </row>
    <row r="5" spans="1:7" ht="30" x14ac:dyDescent="0.25">
      <c r="A5" s="321" t="s">
        <v>527</v>
      </c>
      <c r="B5" s="322" t="s">
        <v>528</v>
      </c>
      <c r="C5" s="357" t="s">
        <v>529</v>
      </c>
      <c r="D5" s="324"/>
      <c r="E5" s="324"/>
      <c r="F5" s="325" t="s">
        <v>522</v>
      </c>
    </row>
    <row r="6" spans="1:7" ht="15" x14ac:dyDescent="0.25">
      <c r="A6" s="359" t="s">
        <v>530</v>
      </c>
      <c r="B6" s="360" t="s">
        <v>531</v>
      </c>
      <c r="C6" s="434" t="s">
        <v>532</v>
      </c>
      <c r="D6" s="324">
        <f>C63</f>
        <v>40</v>
      </c>
      <c r="E6" s="324" t="e">
        <f>C64</f>
        <v>#REF!</v>
      </c>
      <c r="F6" s="361" t="s">
        <v>533</v>
      </c>
      <c r="G6" s="438" t="s">
        <v>658</v>
      </c>
    </row>
    <row r="7" spans="1:7" ht="15" x14ac:dyDescent="0.25">
      <c r="A7" s="359" t="s">
        <v>530</v>
      </c>
      <c r="B7" s="360" t="s">
        <v>534</v>
      </c>
      <c r="C7" s="434" t="s">
        <v>535</v>
      </c>
      <c r="D7" s="324" t="e">
        <f>B63</f>
        <v>#REF!</v>
      </c>
      <c r="E7" s="324" t="e">
        <f>B64</f>
        <v>#REF!</v>
      </c>
      <c r="F7" s="361" t="s">
        <v>536</v>
      </c>
    </row>
    <row r="8" spans="1:7" ht="15" x14ac:dyDescent="0.25">
      <c r="A8" s="359">
        <v>507</v>
      </c>
      <c r="B8" s="360" t="s">
        <v>537</v>
      </c>
      <c r="C8" s="434" t="s">
        <v>538</v>
      </c>
      <c r="D8" s="324" t="e">
        <f>D63</f>
        <v>#REF!</v>
      </c>
      <c r="E8" s="324" t="e">
        <f>D64</f>
        <v>#REF!</v>
      </c>
      <c r="F8" s="361" t="s">
        <v>536</v>
      </c>
    </row>
    <row r="9" spans="1:7" ht="15" x14ac:dyDescent="0.25">
      <c r="A9" s="359" t="s">
        <v>539</v>
      </c>
      <c r="B9" s="360" t="s">
        <v>524</v>
      </c>
      <c r="C9" s="434" t="s">
        <v>540</v>
      </c>
      <c r="D9" s="324" t="e">
        <f>D97</f>
        <v>#REF!</v>
      </c>
      <c r="E9" s="324" t="e">
        <f>D98</f>
        <v>#REF!</v>
      </c>
      <c r="F9" s="361" t="s">
        <v>541</v>
      </c>
    </row>
    <row r="10" spans="1:7" ht="45" x14ac:dyDescent="0.25">
      <c r="A10" s="359" t="s">
        <v>542</v>
      </c>
      <c r="B10" s="360" t="s">
        <v>543</v>
      </c>
      <c r="C10" s="434" t="s">
        <v>544</v>
      </c>
      <c r="D10" s="324">
        <f>C109</f>
        <v>7</v>
      </c>
      <c r="E10" s="324" t="e">
        <f>C110</f>
        <v>#REF!</v>
      </c>
      <c r="F10" s="361" t="s">
        <v>533</v>
      </c>
    </row>
    <row r="11" spans="1:7" ht="30" x14ac:dyDescent="0.25">
      <c r="A11" s="359" t="s">
        <v>545</v>
      </c>
      <c r="B11" s="360" t="s">
        <v>546</v>
      </c>
      <c r="C11" s="434" t="s">
        <v>547</v>
      </c>
      <c r="D11" s="324" t="e">
        <f>C124</f>
        <v>#REF!</v>
      </c>
      <c r="E11" s="324" t="e">
        <f>D124</f>
        <v>#REF!</v>
      </c>
      <c r="F11" s="361" t="s">
        <v>526</v>
      </c>
    </row>
    <row r="12" spans="1:7" ht="30" x14ac:dyDescent="0.25">
      <c r="A12" s="359" t="s">
        <v>548</v>
      </c>
      <c r="B12" s="360" t="s">
        <v>549</v>
      </c>
      <c r="C12" s="434" t="s">
        <v>550</v>
      </c>
      <c r="D12" s="324" t="e">
        <f>C164</f>
        <v>#REF!</v>
      </c>
      <c r="E12" s="324" t="e">
        <f>D164</f>
        <v>#REF!</v>
      </c>
      <c r="F12" s="361" t="s">
        <v>526</v>
      </c>
    </row>
    <row r="13" spans="1:7" ht="30" x14ac:dyDescent="0.25">
      <c r="A13" s="359" t="s">
        <v>548</v>
      </c>
      <c r="B13" s="360" t="s">
        <v>551</v>
      </c>
      <c r="C13" s="434" t="s">
        <v>552</v>
      </c>
      <c r="D13" s="324">
        <f>H173</f>
        <v>176.05254777777776</v>
      </c>
      <c r="E13" s="324">
        <f>H174</f>
        <v>182.51588703703703</v>
      </c>
      <c r="F13" s="361" t="s">
        <v>526</v>
      </c>
    </row>
    <row r="14" spans="1:7" ht="30" x14ac:dyDescent="0.25">
      <c r="A14" s="359" t="s">
        <v>548</v>
      </c>
      <c r="B14" s="360" t="s">
        <v>553</v>
      </c>
      <c r="C14" s="434" t="s">
        <v>554</v>
      </c>
      <c r="D14" s="324">
        <f>I188</f>
        <v>44.553600000000003</v>
      </c>
      <c r="E14" s="324">
        <f>I189</f>
        <v>44.740977777777786</v>
      </c>
      <c r="F14" s="361" t="s">
        <v>526</v>
      </c>
    </row>
    <row r="15" spans="1:7" ht="30" x14ac:dyDescent="0.25">
      <c r="A15" s="359" t="s">
        <v>548</v>
      </c>
      <c r="B15" s="360" t="s">
        <v>555</v>
      </c>
      <c r="C15" s="434" t="s">
        <v>556</v>
      </c>
      <c r="D15" s="324" t="e">
        <f>C258</f>
        <v>#REF!</v>
      </c>
      <c r="E15" s="324" t="e">
        <f>D258</f>
        <v>#REF!</v>
      </c>
      <c r="F15" s="361" t="s">
        <v>526</v>
      </c>
    </row>
    <row r="16" spans="1:7" ht="30" x14ac:dyDescent="0.25">
      <c r="A16" s="359" t="s">
        <v>557</v>
      </c>
      <c r="B16" s="360" t="s">
        <v>558</v>
      </c>
      <c r="C16" s="434" t="s">
        <v>559</v>
      </c>
      <c r="D16" s="324" t="e">
        <f>D333</f>
        <v>#REF!</v>
      </c>
      <c r="E16" s="324" t="e">
        <f>D334</f>
        <v>#REF!</v>
      </c>
      <c r="F16" s="361" t="s">
        <v>560</v>
      </c>
    </row>
    <row r="17" spans="1:6" ht="75" x14ac:dyDescent="0.25">
      <c r="A17" s="359" t="s">
        <v>561</v>
      </c>
      <c r="B17" s="468" t="s">
        <v>696</v>
      </c>
      <c r="C17" s="467" t="s">
        <v>695</v>
      </c>
      <c r="D17" s="324">
        <f>C345</f>
        <v>7</v>
      </c>
      <c r="E17" s="324" t="e">
        <f>C346</f>
        <v>#REF!</v>
      </c>
      <c r="F17" s="361" t="s">
        <v>533</v>
      </c>
    </row>
    <row r="18" spans="1:6" s="39" customFormat="1" ht="15" x14ac:dyDescent="0.25">
      <c r="A18" s="428" t="s">
        <v>561</v>
      </c>
      <c r="B18" s="429" t="s">
        <v>564</v>
      </c>
      <c r="C18" s="435" t="s">
        <v>565</v>
      </c>
      <c r="D18" s="324">
        <f>D356</f>
        <v>12</v>
      </c>
      <c r="E18" s="324" t="e">
        <f>D357</f>
        <v>#REF!</v>
      </c>
      <c r="F18" s="430" t="s">
        <v>533</v>
      </c>
    </row>
    <row r="19" spans="1:6" ht="30" x14ac:dyDescent="0.25">
      <c r="A19" s="321" t="s">
        <v>566</v>
      </c>
      <c r="B19" s="322" t="s">
        <v>564</v>
      </c>
      <c r="C19" s="357" t="s">
        <v>567</v>
      </c>
      <c r="D19" s="324"/>
      <c r="E19" s="324"/>
      <c r="F19" s="325" t="s">
        <v>568</v>
      </c>
    </row>
    <row r="20" spans="1:6" ht="30.75" thickBot="1" x14ac:dyDescent="0.3">
      <c r="A20" s="431" t="s">
        <v>569</v>
      </c>
      <c r="B20" s="432" t="s">
        <v>661</v>
      </c>
      <c r="C20" s="436" t="s">
        <v>659</v>
      </c>
      <c r="D20" s="437">
        <f>E368</f>
        <v>411</v>
      </c>
      <c r="E20" s="333">
        <f>E369</f>
        <v>411</v>
      </c>
      <c r="F20" s="433" t="s">
        <v>560</v>
      </c>
    </row>
    <row r="21" spans="1:6" ht="13.5" thickTop="1" x14ac:dyDescent="0.2"/>
    <row r="24" spans="1:6" ht="15" x14ac:dyDescent="0.25">
      <c r="A24" s="363" t="s">
        <v>514</v>
      </c>
      <c r="B24" s="364" t="s">
        <v>579</v>
      </c>
      <c r="C24" s="365" t="s">
        <v>516</v>
      </c>
      <c r="D24" s="366" t="s">
        <v>518</v>
      </c>
    </row>
    <row r="25" spans="1:6" ht="30" x14ac:dyDescent="0.25">
      <c r="A25" s="363" t="s">
        <v>521</v>
      </c>
      <c r="B25" s="364" t="s">
        <v>671</v>
      </c>
      <c r="C25" s="367" t="s">
        <v>672</v>
      </c>
      <c r="D25" s="366" t="s">
        <v>522</v>
      </c>
    </row>
    <row r="28" spans="1:6" x14ac:dyDescent="0.2">
      <c r="B28" s="38" t="s">
        <v>663</v>
      </c>
      <c r="C28">
        <v>16609</v>
      </c>
      <c r="D28" s="101" t="s">
        <v>175</v>
      </c>
      <c r="E28" s="39" t="s">
        <v>669</v>
      </c>
    </row>
    <row r="29" spans="1:6" x14ac:dyDescent="0.2">
      <c r="B29" s="38" t="s">
        <v>670</v>
      </c>
      <c r="C29" s="315">
        <f>C28/2*1/9</f>
        <v>922.72222222222217</v>
      </c>
      <c r="D29" s="101" t="s">
        <v>665</v>
      </c>
      <c r="E29" s="39"/>
    </row>
    <row r="30" spans="1:6" x14ac:dyDescent="0.2">
      <c r="B30" s="38" t="s">
        <v>664</v>
      </c>
      <c r="C30" s="70">
        <v>450</v>
      </c>
      <c r="D30" s="443" t="s">
        <v>666</v>
      </c>
      <c r="E30" s="39" t="s">
        <v>675</v>
      </c>
    </row>
    <row r="31" spans="1:6" x14ac:dyDescent="0.2">
      <c r="B31" s="38"/>
      <c r="C31" s="70"/>
      <c r="D31" s="443"/>
      <c r="E31" s="39"/>
    </row>
    <row r="32" spans="1:6" x14ac:dyDescent="0.2">
      <c r="B32" s="440" t="s">
        <v>585</v>
      </c>
    </row>
    <row r="33" spans="1:9" ht="13.5" thickBot="1" x14ac:dyDescent="0.25">
      <c r="B33" s="362" t="s">
        <v>680</v>
      </c>
    </row>
    <row r="34" spans="1:9" ht="13.5" thickBot="1" x14ac:dyDescent="0.25">
      <c r="B34" s="38" t="s">
        <v>667</v>
      </c>
      <c r="C34" s="445">
        <f>ROUNDUP(C30*C29,-4)</f>
        <v>420000</v>
      </c>
      <c r="D34" s="442" t="s">
        <v>668</v>
      </c>
      <c r="E34" s="39" t="s">
        <v>674</v>
      </c>
    </row>
    <row r="38" spans="1:9" ht="15" x14ac:dyDescent="0.25">
      <c r="A38" s="363" t="s">
        <v>514</v>
      </c>
      <c r="B38" s="364" t="s">
        <v>579</v>
      </c>
      <c r="C38" s="365" t="s">
        <v>516</v>
      </c>
      <c r="D38" s="366" t="s">
        <v>518</v>
      </c>
    </row>
    <row r="39" spans="1:9" ht="15" x14ac:dyDescent="0.25">
      <c r="A39" s="363" t="s">
        <v>530</v>
      </c>
      <c r="B39" s="364" t="s">
        <v>531</v>
      </c>
      <c r="C39" s="367" t="s">
        <v>532</v>
      </c>
      <c r="D39" s="366" t="s">
        <v>533</v>
      </c>
    </row>
    <row r="40" spans="1:9" ht="29.45" customHeight="1" x14ac:dyDescent="0.25">
      <c r="A40" s="363" t="s">
        <v>530</v>
      </c>
      <c r="B40" s="364" t="s">
        <v>534</v>
      </c>
      <c r="C40" s="367" t="s">
        <v>535</v>
      </c>
      <c r="D40" s="366" t="s">
        <v>536</v>
      </c>
    </row>
    <row r="41" spans="1:9" ht="29.45" customHeight="1" x14ac:dyDescent="0.25">
      <c r="A41" s="363">
        <v>507</v>
      </c>
      <c r="B41" s="364" t="s">
        <v>537</v>
      </c>
      <c r="C41" s="367" t="s">
        <v>538</v>
      </c>
      <c r="D41" s="366" t="s">
        <v>536</v>
      </c>
    </row>
    <row r="42" spans="1:9" ht="15" x14ac:dyDescent="0.25">
      <c r="A42" s="354"/>
      <c r="B42" s="354"/>
      <c r="C42" s="355"/>
      <c r="D42" s="356"/>
    </row>
    <row r="44" spans="1:9" x14ac:dyDescent="0.2">
      <c r="A44" s="39"/>
      <c r="B44" s="639" t="s">
        <v>477</v>
      </c>
      <c r="C44" s="640"/>
      <c r="D44" s="640"/>
      <c r="E44" s="640"/>
      <c r="F44" s="639" t="s">
        <v>478</v>
      </c>
      <c r="G44" s="640"/>
      <c r="H44" s="640"/>
      <c r="I44" s="641"/>
    </row>
    <row r="45" spans="1:9" x14ac:dyDescent="0.2">
      <c r="B45" s="418"/>
      <c r="C45" s="393"/>
      <c r="D45" s="393"/>
      <c r="E45" s="419" t="s">
        <v>580</v>
      </c>
      <c r="F45" s="418"/>
      <c r="G45" s="393"/>
      <c r="H45" s="2"/>
      <c r="I45" s="419" t="s">
        <v>580</v>
      </c>
    </row>
    <row r="46" spans="1:9" x14ac:dyDescent="0.2">
      <c r="A46" s="300"/>
      <c r="B46" s="57"/>
      <c r="C46" s="2"/>
      <c r="D46" s="2"/>
      <c r="E46" s="368" t="s">
        <v>511</v>
      </c>
      <c r="F46" s="57"/>
      <c r="G46" s="2"/>
      <c r="H46" s="2"/>
      <c r="I46" s="368" t="s">
        <v>511</v>
      </c>
    </row>
    <row r="47" spans="1:9" x14ac:dyDescent="0.2">
      <c r="A47" s="39"/>
      <c r="B47" s="420" t="s">
        <v>509</v>
      </c>
      <c r="C47" s="421" t="s">
        <v>510</v>
      </c>
      <c r="D47" s="421" t="s">
        <v>653</v>
      </c>
      <c r="E47" s="422" t="s">
        <v>581</v>
      </c>
      <c r="F47" s="420" t="s">
        <v>509</v>
      </c>
      <c r="G47" s="421" t="s">
        <v>510</v>
      </c>
      <c r="H47" s="421" t="s">
        <v>653</v>
      </c>
      <c r="I47" s="422" t="s">
        <v>581</v>
      </c>
    </row>
    <row r="48" spans="1:9" x14ac:dyDescent="0.2">
      <c r="A48" s="38" t="s">
        <v>465</v>
      </c>
      <c r="B48" s="414">
        <f>'Alt 1 - Abutment Pile Loads'!$C$291</f>
        <v>17</v>
      </c>
      <c r="C48" s="415">
        <f>'Rdwy Geometry'!O181</f>
        <v>0</v>
      </c>
      <c r="D48" s="415">
        <v>647.1</v>
      </c>
      <c r="E48" s="370">
        <f>B48*CEILING((C48+1)-D48,5)</f>
        <v>-10965</v>
      </c>
      <c r="F48" s="414">
        <f>'Alt 1 - Abutment Pile Loads'!$C$298</f>
        <v>17</v>
      </c>
      <c r="G48" s="415" t="e">
        <f>'Rdwy Geometry'!#REF!</f>
        <v>#REF!</v>
      </c>
      <c r="H48" s="24">
        <f>D48</f>
        <v>647.1</v>
      </c>
      <c r="I48" s="370" t="e">
        <f>F48*CEILING((G48+1)-H48,5)</f>
        <v>#REF!</v>
      </c>
    </row>
    <row r="49" spans="1:30" x14ac:dyDescent="0.2">
      <c r="A49" s="38" t="s">
        <v>466</v>
      </c>
      <c r="B49" s="416" t="e">
        <f>#REF!</f>
        <v>#REF!</v>
      </c>
      <c r="C49" s="417" t="e">
        <f>#REF!</f>
        <v>#REF!</v>
      </c>
      <c r="D49" s="417">
        <v>647.1</v>
      </c>
      <c r="E49" s="371" t="e">
        <f>B49*CEILING((C49+1)-D49,5)</f>
        <v>#REF!</v>
      </c>
      <c r="F49" s="416" t="e">
        <f>#REF!</f>
        <v>#REF!</v>
      </c>
      <c r="G49" s="417" t="e">
        <f>#REF!</f>
        <v>#REF!</v>
      </c>
      <c r="H49" s="24">
        <f>D49</f>
        <v>647.1</v>
      </c>
      <c r="I49" s="371" t="e">
        <f>F49*CEILING((G49+1)-H49,5)</f>
        <v>#REF!</v>
      </c>
    </row>
    <row r="50" spans="1:30" x14ac:dyDescent="0.2">
      <c r="AD50" s="8"/>
    </row>
    <row r="51" spans="1:30" x14ac:dyDescent="0.2">
      <c r="A51" s="39"/>
      <c r="B51" s="639" t="s">
        <v>681</v>
      </c>
      <c r="C51" s="640"/>
      <c r="D51" s="640"/>
      <c r="E51" s="640"/>
      <c r="F51" s="639" t="s">
        <v>682</v>
      </c>
      <c r="G51" s="640"/>
      <c r="H51" s="640"/>
      <c r="I51" s="641"/>
    </row>
    <row r="52" spans="1:30" x14ac:dyDescent="0.2">
      <c r="B52" s="418"/>
      <c r="C52" s="393"/>
      <c r="D52" s="393"/>
      <c r="E52" s="419" t="s">
        <v>580</v>
      </c>
      <c r="F52" s="418"/>
      <c r="G52" s="393"/>
      <c r="H52" s="2"/>
      <c r="I52" s="419" t="s">
        <v>580</v>
      </c>
    </row>
    <row r="53" spans="1:30" x14ac:dyDescent="0.2">
      <c r="A53" s="300"/>
      <c r="B53" s="57"/>
      <c r="C53" s="2"/>
      <c r="D53" s="2"/>
      <c r="E53" s="368" t="s">
        <v>511</v>
      </c>
      <c r="F53" s="57"/>
      <c r="G53" s="2"/>
      <c r="H53" s="2"/>
      <c r="I53" s="368" t="s">
        <v>511</v>
      </c>
    </row>
    <row r="54" spans="1:30" x14ac:dyDescent="0.2">
      <c r="A54" s="39"/>
      <c r="B54" s="420" t="s">
        <v>509</v>
      </c>
      <c r="C54" s="421" t="s">
        <v>510</v>
      </c>
      <c r="D54" s="421" t="s">
        <v>653</v>
      </c>
      <c r="E54" s="422" t="s">
        <v>581</v>
      </c>
      <c r="F54" s="420" t="s">
        <v>509</v>
      </c>
      <c r="G54" s="421" t="s">
        <v>510</v>
      </c>
      <c r="H54" s="421" t="s">
        <v>653</v>
      </c>
      <c r="I54" s="422" t="s">
        <v>581</v>
      </c>
    </row>
    <row r="55" spans="1:30" x14ac:dyDescent="0.2">
      <c r="A55" s="38" t="s">
        <v>465</v>
      </c>
      <c r="B55" s="414">
        <v>3</v>
      </c>
      <c r="C55" s="415">
        <f>C48</f>
        <v>0</v>
      </c>
      <c r="D55" s="415">
        <v>647.1</v>
      </c>
      <c r="E55" s="370">
        <f>B55*CEILING((C55+1)-D55,5)</f>
        <v>-1935</v>
      </c>
      <c r="F55" s="414">
        <v>3</v>
      </c>
      <c r="G55" s="415" t="e">
        <f>G48</f>
        <v>#REF!</v>
      </c>
      <c r="H55" s="24">
        <f>D55</f>
        <v>647.1</v>
      </c>
      <c r="I55" s="370" t="e">
        <f>F55*CEILING((G55+1)-H55,5)</f>
        <v>#REF!</v>
      </c>
    </row>
    <row r="56" spans="1:30" x14ac:dyDescent="0.2">
      <c r="A56" s="38" t="s">
        <v>466</v>
      </c>
      <c r="B56" s="416">
        <v>3</v>
      </c>
      <c r="C56" s="415" t="e">
        <f>C49</f>
        <v>#REF!</v>
      </c>
      <c r="D56" s="417">
        <v>647.1</v>
      </c>
      <c r="E56" s="371" t="e">
        <f>B56*CEILING((C56+1)-D56,5)</f>
        <v>#REF!</v>
      </c>
      <c r="F56" s="416">
        <v>3</v>
      </c>
      <c r="G56" s="415" t="e">
        <f>G49</f>
        <v>#REF!</v>
      </c>
      <c r="H56" s="24">
        <f>D56</f>
        <v>647.1</v>
      </c>
      <c r="I56" s="371" t="e">
        <f>F56*CEILING((G56+1)-H56,5)</f>
        <v>#REF!</v>
      </c>
    </row>
    <row r="57" spans="1:30" x14ac:dyDescent="0.2">
      <c r="AD57" s="8"/>
    </row>
    <row r="58" spans="1:30" x14ac:dyDescent="0.2">
      <c r="B58" s="109" t="s">
        <v>585</v>
      </c>
      <c r="D58" s="109" t="s">
        <v>585</v>
      </c>
      <c r="AD58" s="8"/>
    </row>
    <row r="59" spans="1:30" x14ac:dyDescent="0.2">
      <c r="B59" s="362" t="s">
        <v>582</v>
      </c>
      <c r="C59" s="109" t="s">
        <v>585</v>
      </c>
      <c r="D59" s="362" t="s">
        <v>584</v>
      </c>
      <c r="AD59" s="8"/>
    </row>
    <row r="60" spans="1:30" x14ac:dyDescent="0.2">
      <c r="B60" s="94" t="s">
        <v>504</v>
      </c>
      <c r="C60" s="362" t="s">
        <v>583</v>
      </c>
      <c r="D60" s="110" t="s">
        <v>505</v>
      </c>
      <c r="AD60" s="8"/>
    </row>
    <row r="61" spans="1:30" x14ac:dyDescent="0.2">
      <c r="A61" s="78"/>
      <c r="B61" s="94" t="s">
        <v>506</v>
      </c>
      <c r="C61" s="94" t="s">
        <v>507</v>
      </c>
      <c r="D61" s="94" t="s">
        <v>501</v>
      </c>
      <c r="AD61" s="8"/>
    </row>
    <row r="62" spans="1:30" ht="13.5" thickBot="1" x14ac:dyDescent="0.25">
      <c r="B62" s="298" t="s">
        <v>511</v>
      </c>
      <c r="C62" s="298" t="s">
        <v>508</v>
      </c>
      <c r="D62" s="298" t="s">
        <v>511</v>
      </c>
      <c r="G62" s="298"/>
      <c r="V62" s="3"/>
      <c r="W62" s="3"/>
    </row>
    <row r="63" spans="1:30" ht="13.5" thickBot="1" x14ac:dyDescent="0.25">
      <c r="A63" s="38" t="s">
        <v>465</v>
      </c>
      <c r="B63" s="307" t="e">
        <f>SUM(E48,I48,E55,I55)</f>
        <v>#REF!</v>
      </c>
      <c r="C63" s="307">
        <f>SUM(B48,F48,B55,F55)</f>
        <v>40</v>
      </c>
      <c r="D63" s="307" t="e">
        <f>C63*5+B63</f>
        <v>#REF!</v>
      </c>
      <c r="E63" s="43" t="s">
        <v>512</v>
      </c>
      <c r="F63" s="74"/>
      <c r="G63" s="291"/>
      <c r="V63" s="8"/>
      <c r="W63" s="8"/>
    </row>
    <row r="64" spans="1:30" ht="13.5" thickBot="1" x14ac:dyDescent="0.25">
      <c r="A64" s="38" t="s">
        <v>466</v>
      </c>
      <c r="B64" s="307" t="e">
        <f>SUM(E49,I49,E56,I56)</f>
        <v>#REF!</v>
      </c>
      <c r="C64" s="307" t="e">
        <f>SUM(B49,F49,B56,F56)</f>
        <v>#REF!</v>
      </c>
      <c r="D64" s="307" t="e">
        <f>C64*5+B64</f>
        <v>#REF!</v>
      </c>
      <c r="E64" s="43" t="s">
        <v>512</v>
      </c>
      <c r="F64" s="74"/>
      <c r="G64" s="291"/>
      <c r="V64" s="8"/>
      <c r="W64" s="8"/>
    </row>
    <row r="65" spans="1:23" x14ac:dyDescent="0.2">
      <c r="A65" s="78"/>
      <c r="B65" s="291"/>
      <c r="C65" s="291"/>
      <c r="D65" s="74"/>
      <c r="E65" s="291"/>
      <c r="F65" s="74"/>
      <c r="G65" s="291"/>
      <c r="V65" s="8"/>
      <c r="W65" s="8"/>
    </row>
    <row r="66" spans="1:23" x14ac:dyDescent="0.2">
      <c r="A66" s="78"/>
      <c r="B66" s="291"/>
      <c r="C66" s="291"/>
      <c r="D66" s="74"/>
      <c r="E66" s="291"/>
      <c r="F66" s="74"/>
      <c r="G66" s="291"/>
      <c r="V66" s="8"/>
      <c r="W66" s="8"/>
    </row>
    <row r="67" spans="1:23" x14ac:dyDescent="0.2">
      <c r="A67" s="78"/>
      <c r="B67" s="291"/>
      <c r="C67" s="291"/>
      <c r="D67" s="74"/>
      <c r="E67" s="291"/>
      <c r="F67" s="74"/>
      <c r="G67" s="291"/>
      <c r="V67" s="8"/>
      <c r="W67" s="8"/>
    </row>
    <row r="68" spans="1:23" ht="15" x14ac:dyDescent="0.25">
      <c r="A68" s="363" t="s">
        <v>514</v>
      </c>
      <c r="B68" s="364" t="s">
        <v>579</v>
      </c>
      <c r="C68" s="365" t="s">
        <v>516</v>
      </c>
      <c r="D68" s="366" t="s">
        <v>518</v>
      </c>
    </row>
    <row r="69" spans="1:23" ht="15" x14ac:dyDescent="0.25">
      <c r="A69" s="363" t="s">
        <v>539</v>
      </c>
      <c r="B69" s="364" t="s">
        <v>524</v>
      </c>
      <c r="C69" s="365" t="s">
        <v>540</v>
      </c>
      <c r="D69" s="366" t="s">
        <v>541</v>
      </c>
    </row>
    <row r="70" spans="1:23" x14ac:dyDescent="0.2">
      <c r="B70" s="290"/>
      <c r="C70" s="39"/>
      <c r="E70" s="291"/>
      <c r="F70" s="74"/>
      <c r="G70" s="291"/>
      <c r="V70" s="8"/>
      <c r="W70" s="8"/>
    </row>
    <row r="71" spans="1:23" x14ac:dyDescent="0.2">
      <c r="A71" s="1" t="s">
        <v>445</v>
      </c>
      <c r="B71" s="290"/>
      <c r="C71" s="39"/>
      <c r="E71" s="291"/>
      <c r="F71" s="74"/>
      <c r="G71" s="291"/>
      <c r="H71" s="74"/>
      <c r="I71" s="74"/>
      <c r="J71" s="74"/>
      <c r="K71" s="74"/>
      <c r="V71" s="8"/>
      <c r="W71" s="8"/>
    </row>
    <row r="72" spans="1:23" x14ac:dyDescent="0.2">
      <c r="A72" s="78"/>
      <c r="B72" s="291"/>
      <c r="C72" s="291"/>
      <c r="D72" s="74"/>
      <c r="E72" s="291"/>
      <c r="F72" s="74"/>
      <c r="G72" s="291"/>
      <c r="H72" s="74"/>
      <c r="I72" s="74"/>
      <c r="J72" s="74"/>
      <c r="K72" s="74"/>
      <c r="V72" s="8"/>
      <c r="W72" s="8"/>
    </row>
    <row r="73" spans="1:23" x14ac:dyDescent="0.2">
      <c r="A73" t="s">
        <v>473</v>
      </c>
      <c r="B73" s="290">
        <v>240</v>
      </c>
      <c r="C73" s="39" t="s">
        <v>474</v>
      </c>
      <c r="E73" s="291"/>
      <c r="F73" s="74"/>
      <c r="G73" s="291"/>
      <c r="H73" s="74"/>
      <c r="I73" s="74"/>
      <c r="J73" s="74"/>
      <c r="K73" s="74"/>
      <c r="V73" s="8"/>
      <c r="W73" s="8"/>
    </row>
    <row r="74" spans="1:23" x14ac:dyDescent="0.2">
      <c r="B74" s="290">
        <v>90</v>
      </c>
      <c r="C74" s="39" t="s">
        <v>475</v>
      </c>
      <c r="E74" s="291"/>
      <c r="F74" s="74"/>
      <c r="G74" s="291"/>
      <c r="H74" s="74"/>
      <c r="I74" s="74"/>
      <c r="J74" s="74"/>
      <c r="K74" s="74"/>
      <c r="V74" s="8"/>
      <c r="W74" s="8"/>
    </row>
    <row r="75" spans="1:23" x14ac:dyDescent="0.2">
      <c r="B75" s="290">
        <v>165</v>
      </c>
      <c r="C75" s="39" t="s">
        <v>476</v>
      </c>
      <c r="E75" s="291"/>
      <c r="F75" s="74"/>
      <c r="G75" s="291"/>
      <c r="H75" s="74"/>
      <c r="I75" s="74"/>
      <c r="J75" s="74"/>
      <c r="K75" s="74"/>
      <c r="V75" s="8"/>
      <c r="W75" s="8"/>
    </row>
    <row r="76" spans="1:23" x14ac:dyDescent="0.2">
      <c r="B76" s="290"/>
      <c r="C76" s="39"/>
      <c r="E76" s="291"/>
      <c r="F76" s="74"/>
      <c r="G76" s="291"/>
      <c r="H76" s="74"/>
      <c r="I76" s="74"/>
      <c r="J76" s="74"/>
      <c r="K76" s="74"/>
      <c r="V76" s="8"/>
      <c r="W76" s="8"/>
    </row>
    <row r="77" spans="1:23" x14ac:dyDescent="0.2">
      <c r="A77" s="39"/>
      <c r="F77" s="291"/>
      <c r="H77" s="74"/>
      <c r="I77" s="74"/>
      <c r="J77" s="74"/>
      <c r="K77" s="74"/>
      <c r="V77" s="8"/>
      <c r="W77" s="8"/>
    </row>
    <row r="78" spans="1:23" ht="38.25" x14ac:dyDescent="0.2">
      <c r="B78" s="423" t="s">
        <v>637</v>
      </c>
      <c r="C78" s="423" t="s">
        <v>638</v>
      </c>
      <c r="D78" s="423" t="s">
        <v>639</v>
      </c>
      <c r="E78" s="423" t="s">
        <v>640</v>
      </c>
      <c r="F78" s="423" t="s">
        <v>641</v>
      </c>
      <c r="G78" s="423" t="s">
        <v>642</v>
      </c>
      <c r="H78" s="424" t="s">
        <v>643</v>
      </c>
      <c r="I78" s="74"/>
      <c r="J78" s="74"/>
      <c r="K78" s="74"/>
      <c r="V78" s="8"/>
      <c r="W78" s="8"/>
    </row>
    <row r="79" spans="1:23" x14ac:dyDescent="0.2">
      <c r="A79" s="411" t="s">
        <v>648</v>
      </c>
      <c r="B79" s="299" t="str">
        <f>H169</f>
        <v>511E34446</v>
      </c>
      <c r="C79" s="423"/>
      <c r="D79" s="299" t="str">
        <f>B163</f>
        <v>511E21534</v>
      </c>
      <c r="E79" s="423"/>
      <c r="F79" s="299" t="str">
        <f>$I$185</f>
        <v>511E34436</v>
      </c>
      <c r="G79" s="423"/>
      <c r="H79" s="74"/>
      <c r="I79" s="74"/>
      <c r="J79" s="74"/>
      <c r="K79" s="74"/>
      <c r="V79" s="8"/>
      <c r="W79" s="8"/>
    </row>
    <row r="80" spans="1:23" x14ac:dyDescent="0.2">
      <c r="A80" s="38" t="s">
        <v>465</v>
      </c>
      <c r="B80" s="317">
        <f>H173</f>
        <v>176.05254777777776</v>
      </c>
      <c r="C80" s="405">
        <f>B80*$B$73</f>
        <v>42252.611466666662</v>
      </c>
      <c r="D80" s="317" t="e">
        <f>$C$164</f>
        <v>#REF!</v>
      </c>
      <c r="E80" s="405" t="e">
        <f>D80*$B$74</f>
        <v>#REF!</v>
      </c>
      <c r="F80" s="317">
        <f>I188</f>
        <v>44.553600000000003</v>
      </c>
      <c r="G80" s="405">
        <f>F80*$B$75</f>
        <v>7351.3440000000001</v>
      </c>
      <c r="H80" s="301" t="e">
        <f>SUM(C80,E80,G80)</f>
        <v>#REF!</v>
      </c>
      <c r="I80" s="74"/>
      <c r="J80" s="74"/>
      <c r="K80" s="74"/>
      <c r="V80" s="8"/>
      <c r="W80" s="8"/>
    </row>
    <row r="81" spans="1:23" x14ac:dyDescent="0.2">
      <c r="A81" s="38" t="s">
        <v>466</v>
      </c>
      <c r="B81" s="302">
        <f>H174</f>
        <v>182.51588703703703</v>
      </c>
      <c r="C81" s="405">
        <f>B81*$B$73</f>
        <v>43803.81288888889</v>
      </c>
      <c r="D81" s="317" t="e">
        <f>$D$164</f>
        <v>#REF!</v>
      </c>
      <c r="E81" s="405" t="e">
        <f>D81*$B$74</f>
        <v>#REF!</v>
      </c>
      <c r="F81" s="317">
        <f>I189</f>
        <v>44.740977777777786</v>
      </c>
      <c r="G81" s="405">
        <f>F81*$B$75</f>
        <v>7382.2613333333347</v>
      </c>
      <c r="H81" s="301" t="e">
        <f>SUM(C81,E81,G81)</f>
        <v>#REF!</v>
      </c>
      <c r="I81" s="74"/>
      <c r="J81" s="74"/>
      <c r="K81" s="74"/>
      <c r="V81" s="8"/>
      <c r="W81" s="8"/>
    </row>
    <row r="82" spans="1:23" x14ac:dyDescent="0.2">
      <c r="A82" s="101" t="s">
        <v>647</v>
      </c>
      <c r="B82" s="290"/>
      <c r="C82" s="39"/>
      <c r="E82" s="291"/>
      <c r="F82" s="74"/>
      <c r="G82" s="291"/>
      <c r="H82" s="74"/>
      <c r="I82" s="74"/>
      <c r="J82" s="74"/>
      <c r="K82" s="74"/>
      <c r="V82" s="8"/>
      <c r="W82" s="8"/>
    </row>
    <row r="83" spans="1:23" x14ac:dyDescent="0.2">
      <c r="A83" s="1" t="s">
        <v>446</v>
      </c>
      <c r="B83" s="290"/>
      <c r="C83" s="39"/>
      <c r="E83" s="291"/>
      <c r="J83" s="74"/>
      <c r="K83" s="74"/>
      <c r="V83" s="8"/>
      <c r="W83" s="8"/>
    </row>
    <row r="84" spans="1:23" x14ac:dyDescent="0.2">
      <c r="A84" s="78"/>
      <c r="B84" s="291"/>
      <c r="C84" s="291"/>
      <c r="D84" s="74"/>
      <c r="E84" s="291"/>
      <c r="J84" s="74"/>
      <c r="K84" s="74"/>
      <c r="V84" s="8"/>
      <c r="W84" s="8"/>
    </row>
    <row r="85" spans="1:23" x14ac:dyDescent="0.2">
      <c r="A85" t="s">
        <v>473</v>
      </c>
      <c r="B85" s="290">
        <v>90</v>
      </c>
      <c r="C85" s="39" t="s">
        <v>503</v>
      </c>
      <c r="D85" s="74"/>
      <c r="E85" s="291"/>
      <c r="F85" s="74"/>
      <c r="G85" s="291"/>
      <c r="H85" s="74"/>
      <c r="I85" s="74"/>
      <c r="J85" s="74"/>
      <c r="K85" s="74"/>
      <c r="V85" s="8"/>
      <c r="W85" s="8"/>
    </row>
    <row r="86" spans="1:23" x14ac:dyDescent="0.2">
      <c r="B86" s="290">
        <v>200</v>
      </c>
      <c r="C86" s="39" t="s">
        <v>644</v>
      </c>
      <c r="D86" s="74"/>
      <c r="E86" s="291"/>
      <c r="F86" s="74"/>
      <c r="G86" s="291"/>
      <c r="H86" s="74"/>
      <c r="I86" s="74"/>
      <c r="J86" s="74"/>
      <c r="K86" s="74"/>
      <c r="V86" s="8"/>
      <c r="W86" s="8"/>
    </row>
    <row r="87" spans="1:23" x14ac:dyDescent="0.2">
      <c r="A87" s="78"/>
      <c r="D87" s="74"/>
      <c r="E87" s="291"/>
      <c r="F87" s="74"/>
      <c r="G87" s="291"/>
      <c r="H87" s="74"/>
      <c r="I87" s="74"/>
      <c r="J87" s="74"/>
      <c r="K87" s="74"/>
      <c r="V87" s="8"/>
      <c r="W87" s="8"/>
    </row>
    <row r="88" spans="1:23" ht="38.25" x14ac:dyDescent="0.2">
      <c r="B88" s="423" t="s">
        <v>645</v>
      </c>
      <c r="C88" s="423" t="s">
        <v>646</v>
      </c>
      <c r="D88" s="424" t="s">
        <v>649</v>
      </c>
      <c r="E88" s="423"/>
      <c r="F88" s="423"/>
      <c r="G88" s="423"/>
      <c r="I88" s="74"/>
      <c r="J88" s="74"/>
      <c r="K88" s="74"/>
      <c r="V88" s="8"/>
      <c r="W88" s="8"/>
    </row>
    <row r="89" spans="1:23" x14ac:dyDescent="0.2">
      <c r="A89" s="411" t="s">
        <v>648</v>
      </c>
      <c r="B89" s="299" t="str">
        <f>B257</f>
        <v>511E43512</v>
      </c>
      <c r="C89" s="423"/>
      <c r="D89" s="74"/>
      <c r="E89" s="423"/>
      <c r="F89" s="299"/>
      <c r="G89" s="423"/>
      <c r="I89" s="74"/>
      <c r="J89" s="74"/>
      <c r="K89" s="74"/>
      <c r="V89" s="8"/>
      <c r="W89" s="8"/>
    </row>
    <row r="90" spans="1:23" x14ac:dyDescent="0.2">
      <c r="A90" s="38" t="s">
        <v>465</v>
      </c>
      <c r="B90" s="317" t="e">
        <f>C258</f>
        <v>#REF!</v>
      </c>
      <c r="C90" s="405" t="e">
        <f>B90*$B$85</f>
        <v>#REF!</v>
      </c>
      <c r="D90" s="301" t="e">
        <f>C90</f>
        <v>#REF!</v>
      </c>
      <c r="E90" s="405"/>
      <c r="F90" s="317"/>
      <c r="G90" s="405"/>
      <c r="I90" s="74"/>
      <c r="J90" s="74"/>
      <c r="K90" s="74"/>
      <c r="V90" s="8"/>
      <c r="W90" s="8"/>
    </row>
    <row r="91" spans="1:23" x14ac:dyDescent="0.2">
      <c r="A91" s="38" t="s">
        <v>466</v>
      </c>
      <c r="B91" s="302" t="e">
        <f>D258</f>
        <v>#REF!</v>
      </c>
      <c r="C91" s="405" t="e">
        <f>B91*$B$85</f>
        <v>#REF!</v>
      </c>
      <c r="D91" s="301" t="e">
        <f>C91</f>
        <v>#REF!</v>
      </c>
      <c r="E91" s="405"/>
      <c r="F91" s="317"/>
      <c r="G91" s="405"/>
      <c r="I91" s="74"/>
      <c r="J91" s="74"/>
      <c r="K91" s="74"/>
      <c r="V91" s="8"/>
      <c r="W91" s="8"/>
    </row>
    <row r="92" spans="1:23" x14ac:dyDescent="0.2">
      <c r="A92" s="101" t="s">
        <v>647</v>
      </c>
      <c r="B92" s="291"/>
      <c r="C92" s="291"/>
      <c r="D92" s="74"/>
      <c r="E92" s="291"/>
      <c r="F92" s="74"/>
      <c r="G92" s="291"/>
      <c r="H92" s="74"/>
      <c r="I92" s="74"/>
      <c r="J92" s="74"/>
      <c r="K92" s="74"/>
      <c r="V92" s="8"/>
      <c r="W92" s="8"/>
    </row>
    <row r="93" spans="1:23" x14ac:dyDescent="0.2">
      <c r="A93" s="78"/>
      <c r="B93" s="291"/>
      <c r="C93" s="291"/>
      <c r="D93" s="74"/>
      <c r="E93" s="291"/>
      <c r="F93" s="74"/>
      <c r="G93" s="291"/>
      <c r="H93" s="74"/>
      <c r="I93" s="74"/>
      <c r="J93" s="74"/>
      <c r="K93" s="74"/>
      <c r="V93" s="8"/>
      <c r="W93" s="8"/>
    </row>
    <row r="94" spans="1:23" x14ac:dyDescent="0.2">
      <c r="A94" s="1" t="s">
        <v>650</v>
      </c>
      <c r="B94" s="290"/>
      <c r="C94" s="39"/>
      <c r="D94" s="109" t="s">
        <v>585</v>
      </c>
      <c r="E94" s="291"/>
      <c r="J94" s="74"/>
      <c r="K94" s="74"/>
      <c r="V94" s="8"/>
      <c r="W94" s="8"/>
    </row>
    <row r="95" spans="1:23" x14ac:dyDescent="0.2">
      <c r="A95" s="78"/>
      <c r="B95" s="291"/>
      <c r="C95" s="291"/>
      <c r="D95" s="362" t="s">
        <v>652</v>
      </c>
      <c r="E95" s="291"/>
      <c r="J95" s="74"/>
      <c r="K95" s="74"/>
      <c r="V95" s="8"/>
      <c r="W95" s="8"/>
    </row>
    <row r="96" spans="1:23" ht="39" thickBot="1" x14ac:dyDescent="0.25">
      <c r="B96" s="424" t="s">
        <v>643</v>
      </c>
      <c r="C96" s="424" t="s">
        <v>649</v>
      </c>
      <c r="D96" s="425" t="s">
        <v>651</v>
      </c>
      <c r="E96" s="423"/>
      <c r="F96" s="423"/>
      <c r="G96" s="423"/>
      <c r="I96" s="74"/>
      <c r="J96" s="74"/>
      <c r="K96" s="74"/>
      <c r="V96" s="8"/>
      <c r="W96" s="8"/>
    </row>
    <row r="97" spans="1:23" ht="13.5" thickBot="1" x14ac:dyDescent="0.25">
      <c r="A97" s="38" t="s">
        <v>465</v>
      </c>
      <c r="B97" s="317" t="e">
        <f>H80</f>
        <v>#REF!</v>
      </c>
      <c r="C97" s="405" t="e">
        <f>D90</f>
        <v>#REF!</v>
      </c>
      <c r="D97" s="307" t="e">
        <f>B97+C97</f>
        <v>#REF!</v>
      </c>
      <c r="E97" s="405"/>
      <c r="F97" s="317"/>
      <c r="G97" s="405"/>
      <c r="I97" s="74"/>
      <c r="J97" s="74"/>
      <c r="K97" s="74"/>
      <c r="V97" s="8"/>
      <c r="W97" s="8"/>
    </row>
    <row r="98" spans="1:23" ht="13.5" thickBot="1" x14ac:dyDescent="0.25">
      <c r="A98" s="38" t="s">
        <v>466</v>
      </c>
      <c r="B98" s="317" t="e">
        <f>H81</f>
        <v>#REF!</v>
      </c>
      <c r="C98" s="405" t="e">
        <f>D91</f>
        <v>#REF!</v>
      </c>
      <c r="D98" s="307" t="e">
        <f>B98+C98</f>
        <v>#REF!</v>
      </c>
      <c r="E98" s="405"/>
      <c r="F98" s="317"/>
      <c r="G98" s="405"/>
      <c r="I98" s="74"/>
      <c r="J98" s="74"/>
      <c r="K98" s="74"/>
      <c r="V98" s="8"/>
      <c r="W98" s="8"/>
    </row>
    <row r="99" spans="1:23" x14ac:dyDescent="0.2">
      <c r="A99" s="101" t="s">
        <v>647</v>
      </c>
      <c r="B99" s="291"/>
      <c r="C99" s="291"/>
      <c r="D99" s="74"/>
      <c r="E99" s="291"/>
      <c r="F99" s="74"/>
      <c r="G99" s="291"/>
      <c r="H99" s="74"/>
      <c r="I99" s="74"/>
      <c r="J99" s="74"/>
      <c r="K99" s="74"/>
      <c r="V99" s="8"/>
      <c r="W99" s="8"/>
    </row>
    <row r="100" spans="1:23" x14ac:dyDescent="0.2">
      <c r="A100" s="78"/>
      <c r="B100" s="291"/>
      <c r="C100" s="291"/>
      <c r="D100" s="74"/>
      <c r="E100" s="291"/>
      <c r="F100" s="74"/>
      <c r="G100" s="291"/>
      <c r="H100" s="74"/>
      <c r="I100" s="74"/>
      <c r="J100" s="74"/>
      <c r="K100" s="74"/>
      <c r="V100" s="8"/>
      <c r="W100" s="8"/>
    </row>
    <row r="101" spans="1:23" ht="15" x14ac:dyDescent="0.25">
      <c r="A101" s="363" t="s">
        <v>514</v>
      </c>
      <c r="B101" s="364" t="s">
        <v>579</v>
      </c>
      <c r="C101" s="365" t="s">
        <v>516</v>
      </c>
      <c r="D101" s="366" t="s">
        <v>518</v>
      </c>
    </row>
    <row r="102" spans="1:23" ht="45" x14ac:dyDescent="0.25">
      <c r="A102" s="363" t="s">
        <v>542</v>
      </c>
      <c r="B102" s="364" t="s">
        <v>543</v>
      </c>
      <c r="C102" s="367" t="s">
        <v>544</v>
      </c>
      <c r="D102" s="366" t="s">
        <v>533</v>
      </c>
    </row>
    <row r="103" spans="1:23" ht="15" x14ac:dyDescent="0.25">
      <c r="A103" s="354"/>
      <c r="B103" s="354"/>
      <c r="C103" s="355"/>
      <c r="D103" s="356"/>
    </row>
    <row r="104" spans="1:23" ht="15" x14ac:dyDescent="0.25">
      <c r="A104" s="354"/>
      <c r="B104" s="354"/>
      <c r="C104" s="109" t="s">
        <v>585</v>
      </c>
      <c r="D104" s="356"/>
    </row>
    <row r="105" spans="1:23" ht="15" x14ac:dyDescent="0.25">
      <c r="A105" s="354"/>
      <c r="B105" s="354"/>
      <c r="C105" s="362" t="s">
        <v>652</v>
      </c>
      <c r="D105" s="356"/>
    </row>
    <row r="106" spans="1:23" ht="15" x14ac:dyDescent="0.25">
      <c r="A106" s="354"/>
      <c r="B106" s="110" t="str">
        <f>C342</f>
        <v>No.</v>
      </c>
      <c r="C106" s="109" t="s">
        <v>447</v>
      </c>
      <c r="D106" s="356"/>
    </row>
    <row r="107" spans="1:23" ht="15" x14ac:dyDescent="0.25">
      <c r="B107" s="423" t="str">
        <f>C343</f>
        <v>Concrete</v>
      </c>
      <c r="C107" s="427" t="s">
        <v>654</v>
      </c>
      <c r="D107" s="356"/>
    </row>
    <row r="108" spans="1:23" ht="15.75" thickBot="1" x14ac:dyDescent="0.3">
      <c r="A108" s="411"/>
      <c r="B108" s="299" t="str">
        <f>C344</f>
        <v>Beams</v>
      </c>
      <c r="C108" s="109" t="s">
        <v>655</v>
      </c>
      <c r="D108" s="356"/>
    </row>
    <row r="109" spans="1:23" ht="15.75" thickBot="1" x14ac:dyDescent="0.3">
      <c r="A109" s="38" t="s">
        <v>465</v>
      </c>
      <c r="B109" s="302">
        <f>C345</f>
        <v>7</v>
      </c>
      <c r="C109" s="311">
        <f>B109</f>
        <v>7</v>
      </c>
      <c r="D109" s="356"/>
    </row>
    <row r="110" spans="1:23" ht="15.75" thickBot="1" x14ac:dyDescent="0.3">
      <c r="A110" s="38" t="s">
        <v>466</v>
      </c>
      <c r="B110" s="110" t="e">
        <f>C346</f>
        <v>#REF!</v>
      </c>
      <c r="C110" s="426" t="e">
        <f>B110</f>
        <v>#REF!</v>
      </c>
      <c r="D110" s="356"/>
    </row>
    <row r="111" spans="1:23" ht="15" x14ac:dyDescent="0.25">
      <c r="A111" s="101"/>
      <c r="B111" s="290"/>
      <c r="C111" s="355"/>
      <c r="D111" s="356"/>
    </row>
    <row r="112" spans="1:23" ht="15" x14ac:dyDescent="0.25">
      <c r="A112" s="363" t="s">
        <v>514</v>
      </c>
      <c r="B112" s="364" t="s">
        <v>579</v>
      </c>
      <c r="C112" s="365" t="s">
        <v>516</v>
      </c>
      <c r="D112" s="366" t="s">
        <v>518</v>
      </c>
    </row>
    <row r="113" spans="1:23" ht="30" x14ac:dyDescent="0.25">
      <c r="A113" s="363" t="s">
        <v>545</v>
      </c>
      <c r="B113" s="364" t="s">
        <v>546</v>
      </c>
      <c r="C113" s="367" t="s">
        <v>547</v>
      </c>
      <c r="D113" s="366" t="s">
        <v>526</v>
      </c>
    </row>
    <row r="114" spans="1:23" x14ac:dyDescent="0.2">
      <c r="A114" s="78"/>
      <c r="B114" s="291"/>
      <c r="C114" s="291"/>
      <c r="D114" s="74"/>
      <c r="E114" s="291"/>
      <c r="F114" s="74"/>
      <c r="G114" s="291"/>
      <c r="H114" s="74"/>
      <c r="I114" s="74"/>
      <c r="J114" s="74"/>
      <c r="K114" s="74"/>
      <c r="V114" s="8"/>
      <c r="W114" s="8"/>
    </row>
    <row r="115" spans="1:23" x14ac:dyDescent="0.2">
      <c r="A115" s="78"/>
      <c r="C115" s="381" t="s">
        <v>587</v>
      </c>
      <c r="D115" s="381" t="s">
        <v>592</v>
      </c>
      <c r="F115" s="74"/>
      <c r="G115" s="291"/>
      <c r="H115" s="74"/>
      <c r="I115" s="74"/>
      <c r="J115" s="74"/>
      <c r="K115" s="74"/>
      <c r="V115" s="8"/>
      <c r="W115" s="8"/>
    </row>
    <row r="116" spans="1:23" x14ac:dyDescent="0.2">
      <c r="A116" s="78"/>
      <c r="B116" s="72" t="str">
        <f>B138</f>
        <v>Ave. Diaphrgm Height. =</v>
      </c>
      <c r="C116" s="72" t="e">
        <f>C138</f>
        <v>#REF!</v>
      </c>
      <c r="D116" s="72" t="e">
        <f>D138</f>
        <v>#REF!</v>
      </c>
      <c r="E116" s="39" t="s">
        <v>19</v>
      </c>
      <c r="F116" s="74"/>
      <c r="G116" s="291"/>
      <c r="H116" s="74"/>
      <c r="I116" s="74"/>
      <c r="J116" s="74"/>
      <c r="K116" s="74"/>
      <c r="V116" s="8"/>
      <c r="W116" s="8"/>
    </row>
    <row r="117" spans="1:23" x14ac:dyDescent="0.2">
      <c r="A117" s="78"/>
      <c r="B117" s="72" t="str">
        <f>B208</f>
        <v>Ave. Stem Height =</v>
      </c>
      <c r="C117" s="72">
        <f>C208</f>
        <v>3.1254490927370853</v>
      </c>
      <c r="D117" s="72" t="e">
        <f>D208</f>
        <v>#REF!</v>
      </c>
      <c r="E117" s="39" t="s">
        <v>19</v>
      </c>
      <c r="F117" s="74"/>
      <c r="G117" s="291"/>
      <c r="H117" s="74"/>
      <c r="I117" s="74"/>
      <c r="J117" s="74"/>
      <c r="K117" s="74"/>
      <c r="V117" s="8"/>
      <c r="W117" s="8"/>
    </row>
    <row r="118" spans="1:23" x14ac:dyDescent="0.2">
      <c r="A118" s="78"/>
      <c r="B118" s="38" t="s">
        <v>677</v>
      </c>
      <c r="C118" s="72" t="e">
        <f>C116+C117</f>
        <v>#REF!</v>
      </c>
      <c r="D118" s="72" t="e">
        <f>D116+D117</f>
        <v>#REF!</v>
      </c>
      <c r="E118" s="39" t="s">
        <v>19</v>
      </c>
      <c r="F118" s="74"/>
      <c r="G118" s="291"/>
      <c r="H118" s="74"/>
      <c r="I118" s="74"/>
      <c r="J118" s="74"/>
      <c r="K118" s="74"/>
      <c r="V118" s="8"/>
      <c r="W118" s="8"/>
    </row>
    <row r="119" spans="1:23" x14ac:dyDescent="0.2">
      <c r="A119" s="78"/>
      <c r="B119" s="38" t="s">
        <v>676</v>
      </c>
      <c r="C119">
        <v>2</v>
      </c>
      <c r="D119">
        <v>2</v>
      </c>
      <c r="E119" s="39" t="s">
        <v>19</v>
      </c>
      <c r="F119" s="74"/>
      <c r="G119" s="291"/>
      <c r="H119" s="74"/>
      <c r="I119" s="74"/>
      <c r="J119" s="74"/>
      <c r="K119" s="74"/>
      <c r="V119" s="8"/>
      <c r="W119" s="8"/>
    </row>
    <row r="120" spans="1:23" x14ac:dyDescent="0.2">
      <c r="A120" s="78"/>
      <c r="B120" s="72" t="str">
        <f>B140</f>
        <v>Diaphragm Length =</v>
      </c>
      <c r="C120" s="72">
        <f>C140</f>
        <v>69.633333333333326</v>
      </c>
      <c r="D120" s="72">
        <f>D140</f>
        <v>69.633333333333326</v>
      </c>
      <c r="E120" s="39" t="s">
        <v>19</v>
      </c>
      <c r="F120" s="74"/>
      <c r="G120" s="291"/>
      <c r="H120" s="74"/>
      <c r="I120" s="74"/>
      <c r="J120" s="74"/>
      <c r="K120" s="74"/>
      <c r="V120" s="8"/>
      <c r="W120" s="8"/>
    </row>
    <row r="121" spans="1:23" x14ac:dyDescent="0.2">
      <c r="A121" s="78"/>
      <c r="B121" s="72"/>
      <c r="C121" s="72"/>
      <c r="D121" s="72"/>
      <c r="E121" s="39"/>
      <c r="F121" s="74"/>
      <c r="G121" s="291"/>
      <c r="H121" s="74"/>
      <c r="I121" s="74"/>
      <c r="J121" s="74"/>
      <c r="K121" s="74"/>
      <c r="V121" s="8"/>
      <c r="W121" s="8"/>
    </row>
    <row r="122" spans="1:23" x14ac:dyDescent="0.2">
      <c r="B122" s="440" t="s">
        <v>585</v>
      </c>
    </row>
    <row r="123" spans="1:23" ht="13.5" thickBot="1" x14ac:dyDescent="0.25">
      <c r="B123" s="362" t="s">
        <v>679</v>
      </c>
    </row>
    <row r="124" spans="1:23" ht="13.5" thickBot="1" x14ac:dyDescent="0.25">
      <c r="A124" s="78"/>
      <c r="B124" s="38" t="s">
        <v>678</v>
      </c>
      <c r="C124" s="446" t="e">
        <f>ROUND(C118*C119*C120/27,0)</f>
        <v>#REF!</v>
      </c>
      <c r="D124" s="446" t="e">
        <f>ROUND(D118*D119*D120/27,0)</f>
        <v>#REF!</v>
      </c>
      <c r="E124" s="39" t="s">
        <v>67</v>
      </c>
      <c r="F124" s="74"/>
      <c r="G124" s="291"/>
      <c r="H124" s="74"/>
      <c r="I124" s="74"/>
      <c r="J124" s="74"/>
      <c r="K124" s="74"/>
      <c r="V124" s="8"/>
      <c r="W124" s="8"/>
    </row>
    <row r="125" spans="1:23" x14ac:dyDescent="0.2">
      <c r="A125" s="78"/>
      <c r="F125" s="74"/>
      <c r="G125" s="291"/>
      <c r="H125" s="74"/>
      <c r="I125" s="74"/>
      <c r="J125" s="74"/>
      <c r="K125" s="74"/>
      <c r="V125" s="8"/>
      <c r="W125" s="8"/>
    </row>
    <row r="126" spans="1:23" x14ac:dyDescent="0.2">
      <c r="A126" s="78"/>
      <c r="B126" s="291"/>
      <c r="C126" s="291"/>
      <c r="D126" s="74"/>
      <c r="E126" s="291"/>
      <c r="F126" s="74"/>
      <c r="G126" s="291"/>
      <c r="H126" s="74"/>
      <c r="I126" s="74"/>
      <c r="J126" s="74"/>
      <c r="K126" s="74"/>
      <c r="V126" s="8"/>
      <c r="W126" s="8"/>
    </row>
    <row r="127" spans="1:23" ht="15" x14ac:dyDescent="0.25">
      <c r="A127" s="363" t="s">
        <v>514</v>
      </c>
      <c r="B127" s="364" t="s">
        <v>579</v>
      </c>
      <c r="C127" s="365" t="s">
        <v>516</v>
      </c>
      <c r="D127" s="366" t="s">
        <v>518</v>
      </c>
    </row>
    <row r="128" spans="1:23" ht="30" x14ac:dyDescent="0.25">
      <c r="A128" s="363" t="s">
        <v>548</v>
      </c>
      <c r="B128" s="364" t="s">
        <v>549</v>
      </c>
      <c r="C128" s="367" t="s">
        <v>550</v>
      </c>
      <c r="D128" s="366" t="s">
        <v>526</v>
      </c>
    </row>
    <row r="131" spans="1:6" x14ac:dyDescent="0.2">
      <c r="A131" s="43" t="s">
        <v>590</v>
      </c>
    </row>
    <row r="132" spans="1:6" x14ac:dyDescent="0.2">
      <c r="C132" s="381" t="s">
        <v>587</v>
      </c>
      <c r="D132" s="381" t="s">
        <v>592</v>
      </c>
    </row>
    <row r="133" spans="1:6" x14ac:dyDescent="0.2">
      <c r="B133" s="38" t="s">
        <v>593</v>
      </c>
      <c r="C133" s="72">
        <f>AVERAGE('Rdwy Geometry'!J169:J181)</f>
        <v>758.49465547370653</v>
      </c>
      <c r="D133" s="72" t="e">
        <f>AVERAGE(#REF!)</f>
        <v>#REF!</v>
      </c>
      <c r="E133" s="39" t="s">
        <v>19</v>
      </c>
    </row>
    <row r="134" spans="1:6" x14ac:dyDescent="0.2">
      <c r="A134" s="43"/>
      <c r="B134" s="17" t="e">
        <f>'Rdwy Geometry'!#REF!</f>
        <v>#REF!</v>
      </c>
      <c r="C134" t="e">
        <f>'Rdwy Geometry'!#REF!</f>
        <v>#REF!</v>
      </c>
      <c r="D134" t="e">
        <f>#REF!</f>
        <v>#REF!</v>
      </c>
      <c r="E134" t="e">
        <f>#REF!</f>
        <v>#REF!</v>
      </c>
    </row>
    <row r="135" spans="1:6" x14ac:dyDescent="0.2">
      <c r="A135" s="43"/>
      <c r="B135" s="17" t="e">
        <f>'Rdwy Geometry'!#REF!</f>
        <v>#REF!</v>
      </c>
      <c r="C135" t="e">
        <f>'Rdwy Geometry'!#REF!</f>
        <v>#REF!</v>
      </c>
      <c r="D135" t="e">
        <f>#REF!</f>
        <v>#REF!</v>
      </c>
      <c r="E135" t="e">
        <f>#REF!</f>
        <v>#REF!</v>
      </c>
    </row>
    <row r="136" spans="1:6" x14ac:dyDescent="0.2">
      <c r="B136" s="38" t="s">
        <v>72</v>
      </c>
      <c r="C136" s="70" t="e">
        <f>C133-SUM(C134:C135)/12</f>
        <v>#REF!</v>
      </c>
      <c r="D136" s="70" t="e">
        <f>D133-SUM(D134:D135)/12</f>
        <v>#REF!</v>
      </c>
      <c r="E136" s="39" t="s">
        <v>19</v>
      </c>
      <c r="F136" s="39" t="s">
        <v>594</v>
      </c>
    </row>
    <row r="137" spans="1:6" x14ac:dyDescent="0.2">
      <c r="B137" s="38" t="s">
        <v>595</v>
      </c>
      <c r="C137" s="70">
        <f>AVERAGE('Rdwy Geometry'!M169:M181)</f>
        <v>751.62544909273709</v>
      </c>
      <c r="D137" s="70" t="e">
        <f>AVERAGE(#REF!)</f>
        <v>#REF!</v>
      </c>
      <c r="E137" s="39" t="s">
        <v>19</v>
      </c>
      <c r="F137" s="39"/>
    </row>
    <row r="138" spans="1:6" x14ac:dyDescent="0.2">
      <c r="B138" s="38" t="s">
        <v>73</v>
      </c>
      <c r="C138" s="70" t="e">
        <f>C136-C137</f>
        <v>#REF!</v>
      </c>
      <c r="D138" s="70" t="e">
        <f>D136-D137</f>
        <v>#REF!</v>
      </c>
      <c r="E138" s="39" t="s">
        <v>19</v>
      </c>
      <c r="F138" s="101" t="s">
        <v>596</v>
      </c>
    </row>
    <row r="139" spans="1:6" x14ac:dyDescent="0.2">
      <c r="A139" s="43"/>
      <c r="B139" s="38" t="s">
        <v>586</v>
      </c>
      <c r="C139" s="71">
        <v>4.25</v>
      </c>
      <c r="D139" s="71">
        <v>4.8333300000000001</v>
      </c>
      <c r="E139" s="39" t="s">
        <v>19</v>
      </c>
      <c r="F139" t="s">
        <v>607</v>
      </c>
    </row>
    <row r="140" spans="1:6" x14ac:dyDescent="0.2">
      <c r="A140" s="43"/>
      <c r="B140" s="38" t="s">
        <v>588</v>
      </c>
      <c r="C140" s="71">
        <f>69.8-2/12</f>
        <v>69.633333333333326</v>
      </c>
      <c r="D140" s="71">
        <f>C140</f>
        <v>69.633333333333326</v>
      </c>
      <c r="E140" s="39" t="s">
        <v>19</v>
      </c>
    </row>
    <row r="141" spans="1:6" x14ac:dyDescent="0.2">
      <c r="B141" s="38" t="s">
        <v>697</v>
      </c>
      <c r="C141" s="76">
        <f>'Rdwy Geometry'!C70-1</f>
        <v>6</v>
      </c>
      <c r="D141" s="377" t="e">
        <f>#REF!-1</f>
        <v>#REF!</v>
      </c>
      <c r="E141" s="382"/>
    </row>
    <row r="142" spans="1:6" x14ac:dyDescent="0.2">
      <c r="B142" s="38" t="s">
        <v>77</v>
      </c>
      <c r="C142" s="76">
        <v>789</v>
      </c>
      <c r="D142" s="76">
        <v>974.3</v>
      </c>
      <c r="E142" s="39" t="s">
        <v>78</v>
      </c>
    </row>
    <row r="143" spans="1:6" x14ac:dyDescent="0.2">
      <c r="B143" s="38" t="s">
        <v>79</v>
      </c>
      <c r="C143" s="52">
        <v>3.07</v>
      </c>
      <c r="D143" s="52">
        <v>3.37</v>
      </c>
      <c r="E143" s="39" t="s">
        <v>134</v>
      </c>
      <c r="F143" s="103"/>
    </row>
    <row r="144" spans="1:6" x14ac:dyDescent="0.2">
      <c r="B144" s="38" t="s">
        <v>80</v>
      </c>
      <c r="C144" s="77">
        <f>(C141*C142/144*C143)/27</f>
        <v>3.7380092592592593</v>
      </c>
      <c r="D144" s="77" t="e">
        <f>(D141*D142/144*D143)/27</f>
        <v>#REF!</v>
      </c>
      <c r="E144" s="39" t="s">
        <v>67</v>
      </c>
    </row>
    <row r="145" spans="1:6" x14ac:dyDescent="0.2">
      <c r="B145" s="38" t="s">
        <v>74</v>
      </c>
      <c r="C145" s="374" t="e">
        <f>(C138*C139*C140)/27-C144</f>
        <v>#REF!</v>
      </c>
      <c r="D145" s="374" t="e">
        <f>(D138*D139*D140)/27-D144</f>
        <v>#REF!</v>
      </c>
      <c r="E145" s="39" t="s">
        <v>67</v>
      </c>
      <c r="F145" s="39" t="s">
        <v>589</v>
      </c>
    </row>
    <row r="147" spans="1:6" x14ac:dyDescent="0.2">
      <c r="A147" s="43" t="s">
        <v>591</v>
      </c>
    </row>
    <row r="148" spans="1:6" x14ac:dyDescent="0.2">
      <c r="B148" s="38" t="s">
        <v>593</v>
      </c>
      <c r="C148" s="72" t="e">
        <f>AVERAGE('Rdwy Geometry'!#REF!)</f>
        <v>#REF!</v>
      </c>
      <c r="D148" s="72" t="e">
        <f>AVERAGE(#REF!)</f>
        <v>#REF!</v>
      </c>
      <c r="E148" s="39" t="s">
        <v>19</v>
      </c>
    </row>
    <row r="149" spans="1:6" x14ac:dyDescent="0.2">
      <c r="A149" s="43"/>
      <c r="B149" s="17" t="e">
        <f>B134</f>
        <v>#REF!</v>
      </c>
      <c r="C149" t="e">
        <f t="shared" ref="C149" si="0">C134</f>
        <v>#REF!</v>
      </c>
      <c r="D149" t="e">
        <f t="shared" ref="D149:E149" si="1">D134</f>
        <v>#REF!</v>
      </c>
      <c r="E149" t="e">
        <f t="shared" si="1"/>
        <v>#REF!</v>
      </c>
    </row>
    <row r="150" spans="1:6" x14ac:dyDescent="0.2">
      <c r="A150" s="43"/>
      <c r="B150" t="e">
        <f>B135</f>
        <v>#REF!</v>
      </c>
      <c r="C150" t="e">
        <f t="shared" ref="C150" si="2">C135</f>
        <v>#REF!</v>
      </c>
      <c r="D150" t="e">
        <f t="shared" ref="D150:E150" si="3">D135</f>
        <v>#REF!</v>
      </c>
      <c r="E150" t="e">
        <f t="shared" si="3"/>
        <v>#REF!</v>
      </c>
    </row>
    <row r="151" spans="1:6" x14ac:dyDescent="0.2">
      <c r="B151" s="38" t="s">
        <v>72</v>
      </c>
      <c r="C151" s="70" t="e">
        <f>C148-SUM(C149:C150)/12</f>
        <v>#REF!</v>
      </c>
      <c r="D151" s="70" t="e">
        <f>D148-SUM(D149:D150)/12</f>
        <v>#REF!</v>
      </c>
      <c r="E151" s="39" t="s">
        <v>19</v>
      </c>
      <c r="F151" s="39" t="s">
        <v>594</v>
      </c>
    </row>
    <row r="152" spans="1:6" x14ac:dyDescent="0.2">
      <c r="B152" s="38" t="s">
        <v>595</v>
      </c>
      <c r="C152" s="70" t="e">
        <f>AVERAGE('Rdwy Geometry'!#REF!)</f>
        <v>#REF!</v>
      </c>
      <c r="D152" s="70" t="e">
        <f>AVERAGE(#REF!)</f>
        <v>#REF!</v>
      </c>
      <c r="E152" s="39" t="s">
        <v>19</v>
      </c>
    </row>
    <row r="153" spans="1:6" x14ac:dyDescent="0.2">
      <c r="B153" s="38" t="s">
        <v>73</v>
      </c>
      <c r="C153" s="70" t="e">
        <f>C151-C152</f>
        <v>#REF!</v>
      </c>
      <c r="D153" s="70" t="e">
        <f>D151-D152</f>
        <v>#REF!</v>
      </c>
      <c r="E153" s="39" t="s">
        <v>19</v>
      </c>
      <c r="F153" s="101" t="s">
        <v>596</v>
      </c>
    </row>
    <row r="154" spans="1:6" x14ac:dyDescent="0.2">
      <c r="A154" s="43"/>
      <c r="B154" s="38" t="s">
        <v>586</v>
      </c>
      <c r="C154" s="373">
        <f>C139</f>
        <v>4.25</v>
      </c>
      <c r="D154" s="373">
        <f>D139</f>
        <v>4.8333300000000001</v>
      </c>
      <c r="E154" s="39" t="s">
        <v>19</v>
      </c>
    </row>
    <row r="155" spans="1:6" x14ac:dyDescent="0.2">
      <c r="A155" s="43"/>
      <c r="B155" s="38" t="s">
        <v>588</v>
      </c>
      <c r="C155" s="71">
        <v>68.17</v>
      </c>
      <c r="D155" s="71">
        <f>C155</f>
        <v>68.17</v>
      </c>
      <c r="E155" s="39" t="s">
        <v>19</v>
      </c>
    </row>
    <row r="156" spans="1:6" x14ac:dyDescent="0.2">
      <c r="B156" s="38" t="s">
        <v>75</v>
      </c>
      <c r="C156" s="372">
        <f t="shared" ref="C156:D158" si="4">C141</f>
        <v>6</v>
      </c>
      <c r="D156" s="372" t="e">
        <f t="shared" si="4"/>
        <v>#REF!</v>
      </c>
      <c r="E156" s="39" t="s">
        <v>76</v>
      </c>
    </row>
    <row r="157" spans="1:6" x14ac:dyDescent="0.2">
      <c r="B157" s="38" t="s">
        <v>77</v>
      </c>
      <c r="C157" s="372">
        <f t="shared" si="4"/>
        <v>789</v>
      </c>
      <c r="D157" s="372">
        <f t="shared" si="4"/>
        <v>974.3</v>
      </c>
      <c r="E157" s="39" t="s">
        <v>78</v>
      </c>
    </row>
    <row r="158" spans="1:6" x14ac:dyDescent="0.2">
      <c r="B158" s="38" t="s">
        <v>79</v>
      </c>
      <c r="C158" s="79">
        <f t="shared" si="4"/>
        <v>3.07</v>
      </c>
      <c r="D158" s="79">
        <f t="shared" si="4"/>
        <v>3.37</v>
      </c>
      <c r="E158" s="39" t="s">
        <v>134</v>
      </c>
      <c r="F158" s="103"/>
    </row>
    <row r="159" spans="1:6" x14ac:dyDescent="0.2">
      <c r="B159" s="38" t="s">
        <v>80</v>
      </c>
      <c r="C159" s="77">
        <f>(C156*C157/144*C158)/27</f>
        <v>3.7380092592592593</v>
      </c>
      <c r="D159" s="77" t="e">
        <f>(D156*D157/144*D158)/27</f>
        <v>#REF!</v>
      </c>
      <c r="E159" s="39" t="s">
        <v>67</v>
      </c>
    </row>
    <row r="160" spans="1:6" x14ac:dyDescent="0.2">
      <c r="B160" s="38" t="s">
        <v>74</v>
      </c>
      <c r="C160" s="374" t="e">
        <f>(C153*C154*C155)/27-C159</f>
        <v>#REF!</v>
      </c>
      <c r="D160" s="374" t="e">
        <f>(D153*D154*D155)/27-D159</f>
        <v>#REF!</v>
      </c>
      <c r="E160" s="39" t="s">
        <v>67</v>
      </c>
      <c r="F160" s="39" t="s">
        <v>589</v>
      </c>
    </row>
    <row r="161" spans="1:12" x14ac:dyDescent="0.2">
      <c r="E161" s="106"/>
      <c r="F161" s="39"/>
    </row>
    <row r="162" spans="1:12" x14ac:dyDescent="0.2">
      <c r="B162" s="109" t="s">
        <v>585</v>
      </c>
    </row>
    <row r="163" spans="1:12" ht="13.5" thickBot="1" x14ac:dyDescent="0.25">
      <c r="B163" s="362" t="s">
        <v>605</v>
      </c>
    </row>
    <row r="164" spans="1:12" ht="13.5" thickBot="1" x14ac:dyDescent="0.25">
      <c r="B164" s="56" t="s">
        <v>136</v>
      </c>
      <c r="C164" s="375" t="e">
        <f>C145+C160</f>
        <v>#REF!</v>
      </c>
      <c r="D164" s="375" t="e">
        <f>D145+D160</f>
        <v>#REF!</v>
      </c>
      <c r="E164" s="376" t="s">
        <v>67</v>
      </c>
    </row>
    <row r="166" spans="1:12" ht="15" x14ac:dyDescent="0.25">
      <c r="A166" s="363" t="s">
        <v>514</v>
      </c>
      <c r="B166" s="364" t="s">
        <v>579</v>
      </c>
      <c r="C166" s="365" t="s">
        <v>516</v>
      </c>
      <c r="D166" s="366" t="s">
        <v>518</v>
      </c>
    </row>
    <row r="167" spans="1:12" ht="30" x14ac:dyDescent="0.25">
      <c r="A167" s="363" t="s">
        <v>548</v>
      </c>
      <c r="B167" s="364" t="s">
        <v>551</v>
      </c>
      <c r="C167" s="367" t="s">
        <v>552</v>
      </c>
      <c r="D167" s="366" t="s">
        <v>526</v>
      </c>
    </row>
    <row r="168" spans="1:12" x14ac:dyDescent="0.2">
      <c r="H168" s="109" t="s">
        <v>585</v>
      </c>
    </row>
    <row r="169" spans="1:12" x14ac:dyDescent="0.2">
      <c r="H169" s="362" t="s">
        <v>597</v>
      </c>
    </row>
    <row r="170" spans="1:12" x14ac:dyDescent="0.2">
      <c r="D170" s="110"/>
      <c r="E170" s="74"/>
      <c r="F170" s="110" t="s">
        <v>133</v>
      </c>
      <c r="G170" s="69" t="s">
        <v>453</v>
      </c>
      <c r="H170" s="69" t="s">
        <v>453</v>
      </c>
      <c r="I170" s="74"/>
      <c r="J170" s="74"/>
      <c r="L170" s="110"/>
    </row>
    <row r="171" spans="1:12" x14ac:dyDescent="0.2">
      <c r="A171" s="39"/>
      <c r="B171" s="108"/>
      <c r="C171" s="110"/>
      <c r="D171" s="74" t="s">
        <v>458</v>
      </c>
      <c r="E171" s="110" t="s">
        <v>460</v>
      </c>
      <c r="F171" s="94" t="s">
        <v>461</v>
      </c>
      <c r="G171" s="69" t="s">
        <v>448</v>
      </c>
      <c r="H171" s="69" t="s">
        <v>455</v>
      </c>
      <c r="J171" s="110"/>
      <c r="L171" s="110"/>
    </row>
    <row r="172" spans="1:12" ht="13.5" thickBot="1" x14ac:dyDescent="0.25">
      <c r="B172" s="298" t="s">
        <v>462</v>
      </c>
      <c r="C172" s="298" t="s">
        <v>463</v>
      </c>
      <c r="D172" s="298" t="s">
        <v>449</v>
      </c>
      <c r="E172" s="298" t="s">
        <v>464</v>
      </c>
      <c r="F172" s="298" t="s">
        <v>451</v>
      </c>
      <c r="G172" s="314" t="s">
        <v>450</v>
      </c>
      <c r="H172" s="303" t="s">
        <v>459</v>
      </c>
      <c r="J172" s="298"/>
      <c r="L172" s="110"/>
    </row>
    <row r="173" spans="1:12" ht="13.5" thickBot="1" x14ac:dyDescent="0.25">
      <c r="A173" s="38" t="s">
        <v>465</v>
      </c>
      <c r="B173" s="384">
        <f>8.5/12</f>
        <v>0.70833333333333337</v>
      </c>
      <c r="C173" s="384">
        <f>AVERAGE(64.59,63.35)</f>
        <v>63.97</v>
      </c>
      <c r="D173" s="293">
        <f>B173*C173</f>
        <v>45.312083333333334</v>
      </c>
      <c r="E173" s="293">
        <f>D173*0.2</f>
        <v>9.0624166666666675</v>
      </c>
      <c r="F173" s="293">
        <f>D173+E173</f>
        <v>54.374499999999998</v>
      </c>
      <c r="G173" s="384">
        <f>84+1.71*2</f>
        <v>87.42</v>
      </c>
      <c r="H173" s="305">
        <f>F173*G173/27</f>
        <v>176.05254777777776</v>
      </c>
      <c r="J173" s="293"/>
      <c r="L173" s="110"/>
    </row>
    <row r="174" spans="1:12" ht="13.5" thickBot="1" x14ac:dyDescent="0.25">
      <c r="A174" s="38" t="s">
        <v>466</v>
      </c>
      <c r="B174" s="384">
        <f>8.75/12</f>
        <v>0.72916666666666663</v>
      </c>
      <c r="C174" s="384">
        <f>AVERAGE(64.59,63.35)</f>
        <v>63.97</v>
      </c>
      <c r="D174" s="293">
        <f>B174*C174</f>
        <v>46.644791666666663</v>
      </c>
      <c r="E174" s="293">
        <f>D174*0.2</f>
        <v>9.3289583333333326</v>
      </c>
      <c r="F174" s="293">
        <f>D174+E174</f>
        <v>55.973749999999995</v>
      </c>
      <c r="G174" s="384">
        <f>84+2*2.02</f>
        <v>88.04</v>
      </c>
      <c r="H174" s="305">
        <f>F174*G174/27</f>
        <v>182.51588703703703</v>
      </c>
      <c r="J174" s="293"/>
      <c r="L174" s="110"/>
    </row>
    <row r="175" spans="1:12" x14ac:dyDescent="0.2">
      <c r="G175" s="291"/>
    </row>
    <row r="176" spans="1:12" x14ac:dyDescent="0.2">
      <c r="B176" s="108"/>
      <c r="C176" s="39" t="s">
        <v>698</v>
      </c>
    </row>
    <row r="177" spans="1:13" x14ac:dyDescent="0.2">
      <c r="B177" s="108"/>
      <c r="C177" s="38"/>
      <c r="E177" s="291"/>
      <c r="G177" s="291"/>
      <c r="H177" s="293"/>
      <c r="I177" s="293"/>
      <c r="J177" s="293"/>
      <c r="K177" s="293"/>
      <c r="L177" s="110"/>
      <c r="M177" s="293"/>
    </row>
    <row r="178" spans="1:13" x14ac:dyDescent="0.2">
      <c r="B178" s="72" t="s">
        <v>470</v>
      </c>
      <c r="C178" s="101" t="s">
        <v>471</v>
      </c>
      <c r="E178" s="291"/>
      <c r="G178" s="291"/>
    </row>
    <row r="179" spans="1:13" x14ac:dyDescent="0.2">
      <c r="C179" s="101" t="s">
        <v>472</v>
      </c>
      <c r="H179" s="293"/>
      <c r="I179" s="293"/>
      <c r="J179" s="293"/>
      <c r="K179" s="293"/>
      <c r="L179" s="110"/>
      <c r="M179" s="293"/>
    </row>
    <row r="181" spans="1:13" ht="15" x14ac:dyDescent="0.25">
      <c r="A181" s="363" t="s">
        <v>514</v>
      </c>
      <c r="B181" s="364" t="s">
        <v>579</v>
      </c>
      <c r="C181" s="365" t="s">
        <v>516</v>
      </c>
      <c r="D181" s="366" t="s">
        <v>518</v>
      </c>
    </row>
    <row r="182" spans="1:13" ht="30" x14ac:dyDescent="0.25">
      <c r="A182" s="363" t="s">
        <v>548</v>
      </c>
      <c r="B182" s="364" t="s">
        <v>553</v>
      </c>
      <c r="C182" s="367" t="s">
        <v>554</v>
      </c>
      <c r="D182" s="366" t="s">
        <v>526</v>
      </c>
    </row>
    <row r="184" spans="1:13" x14ac:dyDescent="0.2">
      <c r="A184" s="300"/>
      <c r="B184" s="110"/>
      <c r="F184" s="110" t="s">
        <v>600</v>
      </c>
      <c r="G184" s="110" t="s">
        <v>600</v>
      </c>
      <c r="I184" s="109" t="s">
        <v>585</v>
      </c>
    </row>
    <row r="185" spans="1:13" ht="15" x14ac:dyDescent="0.25">
      <c r="A185" s="39"/>
      <c r="B185" s="296"/>
      <c r="C185" s="110"/>
      <c r="E185" s="69" t="s">
        <v>453</v>
      </c>
      <c r="F185" s="94" t="s">
        <v>458</v>
      </c>
      <c r="G185" s="94" t="s">
        <v>458</v>
      </c>
      <c r="I185" s="362" t="s">
        <v>604</v>
      </c>
    </row>
    <row r="186" spans="1:13" x14ac:dyDescent="0.2">
      <c r="B186" s="290" t="s">
        <v>598</v>
      </c>
      <c r="C186" s="292" t="s">
        <v>467</v>
      </c>
      <c r="D186" s="94" t="s">
        <v>454</v>
      </c>
      <c r="E186" s="69" t="s">
        <v>448</v>
      </c>
      <c r="F186" s="94" t="s">
        <v>599</v>
      </c>
      <c r="G186" s="94" t="s">
        <v>599</v>
      </c>
      <c r="H186" s="94" t="s">
        <v>454</v>
      </c>
      <c r="I186" s="94" t="s">
        <v>454</v>
      </c>
    </row>
    <row r="187" spans="1:13" ht="13.5" thickBot="1" x14ac:dyDescent="0.25">
      <c r="B187" s="297" t="s">
        <v>468</v>
      </c>
      <c r="C187" s="297" t="s">
        <v>469</v>
      </c>
      <c r="D187" s="298" t="s">
        <v>469</v>
      </c>
      <c r="E187" s="316" t="s">
        <v>450</v>
      </c>
      <c r="F187" s="298" t="s">
        <v>601</v>
      </c>
      <c r="G187" s="298" t="s">
        <v>602</v>
      </c>
      <c r="H187" s="298" t="s">
        <v>489</v>
      </c>
      <c r="I187" s="298" t="s">
        <v>603</v>
      </c>
    </row>
    <row r="188" spans="1:13" ht="13.5" thickBot="1" x14ac:dyDescent="0.25">
      <c r="A188" s="38" t="s">
        <v>465</v>
      </c>
      <c r="B188" s="385">
        <v>2</v>
      </c>
      <c r="C188" s="385">
        <v>4.08</v>
      </c>
      <c r="D188" s="291">
        <f>B188*C188</f>
        <v>8.16</v>
      </c>
      <c r="E188" s="291">
        <f>G173</f>
        <v>87.42</v>
      </c>
      <c r="F188" s="385">
        <v>30</v>
      </c>
      <c r="G188" s="385">
        <v>30</v>
      </c>
      <c r="H188" s="74">
        <f>E188+F188+G188</f>
        <v>147.42000000000002</v>
      </c>
      <c r="I188" s="378">
        <f>D188*H188/27</f>
        <v>44.553600000000003</v>
      </c>
    </row>
    <row r="189" spans="1:13" ht="13.5" thickBot="1" x14ac:dyDescent="0.25">
      <c r="A189" s="38" t="s">
        <v>466</v>
      </c>
      <c r="B189" s="385">
        <v>2</v>
      </c>
      <c r="C189" s="385">
        <v>4.08</v>
      </c>
      <c r="D189" s="291">
        <f>B189*C189</f>
        <v>8.16</v>
      </c>
      <c r="E189" s="291">
        <f>G174</f>
        <v>88.04</v>
      </c>
      <c r="F189" s="385">
        <v>30</v>
      </c>
      <c r="G189" s="385">
        <v>30</v>
      </c>
      <c r="H189" s="74">
        <f>E189+F189+G189</f>
        <v>148.04000000000002</v>
      </c>
      <c r="I189" s="378">
        <f>D189*H189/27</f>
        <v>44.740977777777786</v>
      </c>
    </row>
    <row r="192" spans="1:13" ht="15" x14ac:dyDescent="0.25">
      <c r="A192" s="363" t="s">
        <v>514</v>
      </c>
      <c r="B192" s="364" t="s">
        <v>579</v>
      </c>
      <c r="C192" s="365" t="s">
        <v>516</v>
      </c>
      <c r="D192" s="366" t="s">
        <v>518</v>
      </c>
    </row>
    <row r="193" spans="1:6" ht="30" x14ac:dyDescent="0.25">
      <c r="A193" s="363" t="s">
        <v>548</v>
      </c>
      <c r="B193" s="364" t="s">
        <v>555</v>
      </c>
      <c r="C193" s="367" t="s">
        <v>556</v>
      </c>
      <c r="D193" s="366" t="s">
        <v>526</v>
      </c>
    </row>
    <row r="195" spans="1:6" x14ac:dyDescent="0.2">
      <c r="A195" s="1"/>
    </row>
    <row r="196" spans="1:6" x14ac:dyDescent="0.2">
      <c r="A196" s="43" t="s">
        <v>46</v>
      </c>
    </row>
    <row r="197" spans="1:6" x14ac:dyDescent="0.2">
      <c r="A197" s="39" t="s">
        <v>58</v>
      </c>
      <c r="C197" s="381" t="s">
        <v>587</v>
      </c>
      <c r="D197" s="381" t="s">
        <v>592</v>
      </c>
    </row>
    <row r="198" spans="1:6" x14ac:dyDescent="0.2">
      <c r="B198" s="38" t="s">
        <v>60</v>
      </c>
      <c r="C198" s="71">
        <v>72.3</v>
      </c>
      <c r="D198" s="71">
        <f>C198</f>
        <v>72.3</v>
      </c>
      <c r="E198" s="39" t="s">
        <v>19</v>
      </c>
    </row>
    <row r="199" spans="1:6" x14ac:dyDescent="0.2">
      <c r="B199" s="38" t="s">
        <v>62</v>
      </c>
      <c r="C199" s="71">
        <v>6.5</v>
      </c>
      <c r="D199" s="71">
        <v>6.5</v>
      </c>
      <c r="E199" s="39" t="s">
        <v>19</v>
      </c>
    </row>
    <row r="200" spans="1:6" x14ac:dyDescent="0.2">
      <c r="B200" s="38" t="s">
        <v>64</v>
      </c>
      <c r="C200" s="72">
        <f>'Rdwy Geometry'!$F$10</f>
        <v>3</v>
      </c>
      <c r="D200" s="72">
        <f>'Rdwy Geometry'!$F$10</f>
        <v>3</v>
      </c>
      <c r="E200" s="39" t="s">
        <v>19</v>
      </c>
    </row>
    <row r="201" spans="1:6" x14ac:dyDescent="0.2">
      <c r="B201" s="38" t="s">
        <v>66</v>
      </c>
      <c r="C201" s="379">
        <f>(C198*C199*C200)/27</f>
        <v>52.216666666666661</v>
      </c>
      <c r="D201" s="379">
        <f>(D198*D199*D200)/27</f>
        <v>52.216666666666661</v>
      </c>
      <c r="E201" s="39" t="s">
        <v>67</v>
      </c>
    </row>
    <row r="203" spans="1:6" x14ac:dyDescent="0.2">
      <c r="A203" s="39" t="s">
        <v>59</v>
      </c>
    </row>
    <row r="204" spans="1:6" x14ac:dyDescent="0.2">
      <c r="B204" s="38" t="s">
        <v>137</v>
      </c>
      <c r="C204" s="71">
        <v>67.91</v>
      </c>
      <c r="D204" s="71">
        <v>67.91</v>
      </c>
      <c r="E204" s="39" t="s">
        <v>134</v>
      </c>
      <c r="F204" s="103"/>
    </row>
    <row r="205" spans="1:6" x14ac:dyDescent="0.2">
      <c r="B205" s="38" t="s">
        <v>61</v>
      </c>
      <c r="C205" s="70">
        <f>C139</f>
        <v>4.25</v>
      </c>
      <c r="D205" s="70">
        <f>D139</f>
        <v>4.8333300000000001</v>
      </c>
      <c r="E205" s="39" t="s">
        <v>134</v>
      </c>
    </row>
    <row r="206" spans="1:6" x14ac:dyDescent="0.2">
      <c r="B206" s="38" t="s">
        <v>63</v>
      </c>
      <c r="C206" s="72">
        <f>MIN('Rdwy Geometry'!O169:O181)</f>
        <v>745.5</v>
      </c>
      <c r="D206" s="72" t="e">
        <f>MIN(#REF!)</f>
        <v>#REF!</v>
      </c>
      <c r="E206" s="39" t="s">
        <v>134</v>
      </c>
    </row>
    <row r="207" spans="1:6" x14ac:dyDescent="0.2">
      <c r="B207" s="38" t="s">
        <v>595</v>
      </c>
      <c r="C207" s="70">
        <f>C137</f>
        <v>751.62544909273709</v>
      </c>
      <c r="D207" s="70" t="e">
        <f>D137</f>
        <v>#REF!</v>
      </c>
      <c r="E207" s="39" t="s">
        <v>19</v>
      </c>
    </row>
    <row r="208" spans="1:6" x14ac:dyDescent="0.2">
      <c r="B208" s="38" t="s">
        <v>65</v>
      </c>
      <c r="C208" s="70">
        <f>C207-(C206+C200)</f>
        <v>3.1254490927370853</v>
      </c>
      <c r="D208" s="70" t="e">
        <f>D207-(D206+D200)</f>
        <v>#REF!</v>
      </c>
      <c r="E208" s="39" t="s">
        <v>19</v>
      </c>
    </row>
    <row r="209" spans="1:6" x14ac:dyDescent="0.2">
      <c r="B209" s="38" t="s">
        <v>68</v>
      </c>
      <c r="C209" s="75">
        <f>(C208*C205*C198)/27</f>
        <v>35.569347035955104</v>
      </c>
      <c r="D209" s="75" t="e">
        <f>(D208*D205*D198)/27</f>
        <v>#REF!</v>
      </c>
      <c r="E209" s="39" t="s">
        <v>67</v>
      </c>
    </row>
    <row r="211" spans="1:6" x14ac:dyDescent="0.2">
      <c r="A211" s="39" t="s">
        <v>69</v>
      </c>
    </row>
    <row r="212" spans="1:6" x14ac:dyDescent="0.2">
      <c r="B212" s="17" t="s">
        <v>70</v>
      </c>
      <c r="C212" s="73">
        <v>1</v>
      </c>
      <c r="D212" s="73">
        <v>1</v>
      </c>
    </row>
    <row r="213" spans="1:6" x14ac:dyDescent="0.2">
      <c r="B213" s="38" t="s">
        <v>60</v>
      </c>
      <c r="C213" s="71">
        <v>21.8</v>
      </c>
      <c r="D213" s="71">
        <v>21.8</v>
      </c>
      <c r="E213" s="39" t="s">
        <v>19</v>
      </c>
      <c r="F213" s="39" t="s">
        <v>607</v>
      </c>
    </row>
    <row r="214" spans="1:6" x14ac:dyDescent="0.2">
      <c r="B214" s="38" t="s">
        <v>62</v>
      </c>
      <c r="C214" s="71">
        <v>6.5</v>
      </c>
      <c r="D214" s="71">
        <v>6.5</v>
      </c>
      <c r="E214" s="39" t="s">
        <v>19</v>
      </c>
    </row>
    <row r="215" spans="1:6" x14ac:dyDescent="0.2">
      <c r="B215" s="38" t="s">
        <v>64</v>
      </c>
      <c r="C215" s="72">
        <f>'Rdwy Geometry'!F$10</f>
        <v>3</v>
      </c>
      <c r="D215" s="72" t="e">
        <f>#REF!</f>
        <v>#REF!</v>
      </c>
      <c r="E215" s="39" t="s">
        <v>19</v>
      </c>
    </row>
    <row r="216" spans="1:6" x14ac:dyDescent="0.2">
      <c r="B216" s="38" t="s">
        <v>66</v>
      </c>
      <c r="C216" s="75">
        <f>C212*(C213*C214*C215)/27</f>
        <v>15.744444444444445</v>
      </c>
      <c r="D216" s="75" t="e">
        <f>D212*(D213*D214*D215)/27</f>
        <v>#REF!</v>
      </c>
      <c r="E216" s="39" t="s">
        <v>67</v>
      </c>
    </row>
    <row r="218" spans="1:6" x14ac:dyDescent="0.2">
      <c r="A218" s="39" t="s">
        <v>609</v>
      </c>
    </row>
    <row r="219" spans="1:6" x14ac:dyDescent="0.2">
      <c r="A219" s="39"/>
      <c r="B219" s="38" t="s">
        <v>71</v>
      </c>
      <c r="C219" s="71">
        <v>1.5</v>
      </c>
      <c r="D219" s="71">
        <v>1.5</v>
      </c>
      <c r="E219" s="39" t="s">
        <v>19</v>
      </c>
    </row>
    <row r="220" spans="1:6" x14ac:dyDescent="0.2">
      <c r="B220" s="38" t="s">
        <v>606</v>
      </c>
      <c r="C220" s="71">
        <v>343</v>
      </c>
      <c r="D220" s="71">
        <v>343</v>
      </c>
      <c r="E220" s="39" t="s">
        <v>19</v>
      </c>
      <c r="F220" s="39" t="s">
        <v>607</v>
      </c>
    </row>
    <row r="221" spans="1:6" x14ac:dyDescent="0.2">
      <c r="B221" s="38" t="s">
        <v>68</v>
      </c>
      <c r="C221" s="75">
        <f>C220*C219/27</f>
        <v>19.055555555555557</v>
      </c>
      <c r="D221" s="75">
        <f>D220*D219/27</f>
        <v>19.055555555555557</v>
      </c>
      <c r="E221" s="39" t="s">
        <v>67</v>
      </c>
    </row>
    <row r="223" spans="1:6" x14ac:dyDescent="0.2">
      <c r="B223" s="109"/>
    </row>
    <row r="224" spans="1:6" x14ac:dyDescent="0.2">
      <c r="B224" s="64" t="s">
        <v>610</v>
      </c>
      <c r="C224" s="379">
        <f>C201+C209+C216+C221</f>
        <v>122.58601370262177</v>
      </c>
      <c r="D224" s="379" t="e">
        <f>D201+D209+D216+D221</f>
        <v>#REF!</v>
      </c>
      <c r="E224" s="39" t="s">
        <v>67</v>
      </c>
    </row>
    <row r="226" spans="1:6" x14ac:dyDescent="0.2">
      <c r="A226" s="43" t="s">
        <v>48</v>
      </c>
    </row>
    <row r="227" spans="1:6" x14ac:dyDescent="0.2">
      <c r="A227" s="39" t="s">
        <v>58</v>
      </c>
    </row>
    <row r="228" spans="1:6" x14ac:dyDescent="0.2">
      <c r="B228" s="38" t="s">
        <v>60</v>
      </c>
      <c r="C228" s="71">
        <v>70.98</v>
      </c>
      <c r="D228" s="71">
        <v>70.98</v>
      </c>
      <c r="E228" s="39" t="s">
        <v>19</v>
      </c>
    </row>
    <row r="229" spans="1:6" x14ac:dyDescent="0.2">
      <c r="B229" s="38" t="s">
        <v>62</v>
      </c>
      <c r="C229" s="71">
        <v>6.5</v>
      </c>
      <c r="D229" s="71">
        <v>6.5</v>
      </c>
      <c r="E229" s="39" t="s">
        <v>19</v>
      </c>
    </row>
    <row r="230" spans="1:6" x14ac:dyDescent="0.2">
      <c r="B230" s="38" t="s">
        <v>64</v>
      </c>
      <c r="C230" s="72">
        <f>'Rdwy Geometry'!$F$10</f>
        <v>3</v>
      </c>
      <c r="D230" s="72">
        <f>'Rdwy Geometry'!$F$10</f>
        <v>3</v>
      </c>
      <c r="E230" s="39" t="s">
        <v>19</v>
      </c>
    </row>
    <row r="231" spans="1:6" x14ac:dyDescent="0.2">
      <c r="B231" s="38" t="s">
        <v>66</v>
      </c>
      <c r="C231" s="379">
        <f>(C228*C229*C230)/27</f>
        <v>51.263333333333335</v>
      </c>
      <c r="D231" s="379">
        <f>(D228*D229*D230)/27</f>
        <v>51.263333333333335</v>
      </c>
      <c r="E231" s="39" t="s">
        <v>67</v>
      </c>
    </row>
    <row r="233" spans="1:6" x14ac:dyDescent="0.2">
      <c r="A233" s="39" t="s">
        <v>59</v>
      </c>
    </row>
    <row r="234" spans="1:6" x14ac:dyDescent="0.2">
      <c r="B234" s="38" t="s">
        <v>137</v>
      </c>
      <c r="C234" s="71">
        <f>C228-4.34</f>
        <v>66.64</v>
      </c>
      <c r="D234" s="71">
        <f>D228-4.34</f>
        <v>66.64</v>
      </c>
      <c r="E234" s="39" t="s">
        <v>134</v>
      </c>
      <c r="F234" s="103"/>
    </row>
    <row r="235" spans="1:6" x14ac:dyDescent="0.2">
      <c r="B235" s="38" t="s">
        <v>61</v>
      </c>
      <c r="C235" s="70">
        <f>C205</f>
        <v>4.25</v>
      </c>
      <c r="D235" s="70">
        <f>D205</f>
        <v>4.8333300000000001</v>
      </c>
      <c r="E235" s="39" t="s">
        <v>134</v>
      </c>
    </row>
    <row r="236" spans="1:6" x14ac:dyDescent="0.2">
      <c r="B236" s="38" t="s">
        <v>63</v>
      </c>
      <c r="C236" s="72" t="e">
        <f>MIN('Rdwy Geometry'!#REF!)</f>
        <v>#REF!</v>
      </c>
      <c r="D236" s="72" t="e">
        <f>MIN(#REF!)</f>
        <v>#REF!</v>
      </c>
      <c r="E236" s="39" t="s">
        <v>134</v>
      </c>
    </row>
    <row r="237" spans="1:6" x14ac:dyDescent="0.2">
      <c r="B237" s="38" t="s">
        <v>595</v>
      </c>
      <c r="C237" s="70" t="e">
        <f>C152</f>
        <v>#REF!</v>
      </c>
      <c r="D237" s="70" t="e">
        <f>D152</f>
        <v>#REF!</v>
      </c>
      <c r="E237" s="39" t="s">
        <v>19</v>
      </c>
    </row>
    <row r="238" spans="1:6" x14ac:dyDescent="0.2">
      <c r="B238" s="38" t="s">
        <v>65</v>
      </c>
      <c r="C238" s="70" t="e">
        <f>C237-(C236+C230)</f>
        <v>#REF!</v>
      </c>
      <c r="D238" s="70" t="e">
        <f>D237-(D236+D230)</f>
        <v>#REF!</v>
      </c>
      <c r="E238" s="39" t="s">
        <v>19</v>
      </c>
    </row>
    <row r="239" spans="1:6" x14ac:dyDescent="0.2">
      <c r="B239" s="38" t="s">
        <v>68</v>
      </c>
      <c r="C239" s="75" t="e">
        <f>(C238*C235*C228)/27</f>
        <v>#REF!</v>
      </c>
      <c r="D239" s="75" t="e">
        <f>(D238*D235*D228)/27</f>
        <v>#REF!</v>
      </c>
      <c r="E239" s="39" t="s">
        <v>67</v>
      </c>
    </row>
    <row r="241" spans="1:6" x14ac:dyDescent="0.2">
      <c r="A241" s="39" t="s">
        <v>69</v>
      </c>
    </row>
    <row r="242" spans="1:6" x14ac:dyDescent="0.2">
      <c r="B242" s="17" t="s">
        <v>70</v>
      </c>
      <c r="C242" s="73">
        <v>1</v>
      </c>
      <c r="D242" s="73">
        <v>1</v>
      </c>
    </row>
    <row r="243" spans="1:6" x14ac:dyDescent="0.2">
      <c r="B243" s="38" t="s">
        <v>60</v>
      </c>
      <c r="C243" s="71">
        <f>C213</f>
        <v>21.8</v>
      </c>
      <c r="D243" s="71">
        <f>D213</f>
        <v>21.8</v>
      </c>
      <c r="E243" s="39" t="s">
        <v>19</v>
      </c>
      <c r="F243" s="39" t="s">
        <v>607</v>
      </c>
    </row>
    <row r="244" spans="1:6" x14ac:dyDescent="0.2">
      <c r="B244" s="38" t="s">
        <v>62</v>
      </c>
      <c r="C244" s="71">
        <v>6.5</v>
      </c>
      <c r="D244" s="71">
        <v>6.5</v>
      </c>
      <c r="E244" s="39" t="s">
        <v>19</v>
      </c>
    </row>
    <row r="245" spans="1:6" x14ac:dyDescent="0.2">
      <c r="B245" s="38" t="s">
        <v>64</v>
      </c>
      <c r="C245" s="72">
        <f>'Rdwy Geometry'!F$10</f>
        <v>3</v>
      </c>
      <c r="D245" s="72" t="e">
        <f>#REF!</f>
        <v>#REF!</v>
      </c>
      <c r="E245" s="39" t="s">
        <v>19</v>
      </c>
    </row>
    <row r="246" spans="1:6" x14ac:dyDescent="0.2">
      <c r="B246" s="38" t="s">
        <v>66</v>
      </c>
      <c r="C246" s="75">
        <f>C242*(C243*C244*C245)/27</f>
        <v>15.744444444444445</v>
      </c>
      <c r="D246" s="75" t="e">
        <f>D242*(D243*D244*D245)/27</f>
        <v>#REF!</v>
      </c>
      <c r="E246" s="39" t="s">
        <v>67</v>
      </c>
    </row>
    <row r="248" spans="1:6" x14ac:dyDescent="0.2">
      <c r="A248" s="39" t="s">
        <v>609</v>
      </c>
    </row>
    <row r="249" spans="1:6" x14ac:dyDescent="0.2">
      <c r="B249" s="38" t="s">
        <v>71</v>
      </c>
      <c r="C249" s="71">
        <v>1.5</v>
      </c>
      <c r="D249" s="71">
        <v>1.5</v>
      </c>
      <c r="E249" s="39" t="s">
        <v>19</v>
      </c>
    </row>
    <row r="250" spans="1:6" x14ac:dyDescent="0.2">
      <c r="B250" s="38" t="s">
        <v>606</v>
      </c>
      <c r="C250" s="71">
        <f>C220</f>
        <v>343</v>
      </c>
      <c r="D250" s="71">
        <f>D220</f>
        <v>343</v>
      </c>
      <c r="E250" s="39" t="s">
        <v>19</v>
      </c>
      <c r="F250" s="39" t="s">
        <v>607</v>
      </c>
    </row>
    <row r="251" spans="1:6" x14ac:dyDescent="0.2">
      <c r="B251" s="38" t="s">
        <v>68</v>
      </c>
      <c r="C251" s="75">
        <f>C250*C249/27</f>
        <v>19.055555555555557</v>
      </c>
      <c r="D251" s="75">
        <f>D250*D249/27</f>
        <v>19.055555555555557</v>
      </c>
      <c r="E251" s="39" t="s">
        <v>67</v>
      </c>
    </row>
    <row r="253" spans="1:6" x14ac:dyDescent="0.2">
      <c r="B253" s="109"/>
    </row>
    <row r="254" spans="1:6" x14ac:dyDescent="0.2">
      <c r="B254" s="64" t="s">
        <v>611</v>
      </c>
      <c r="C254" s="379" t="e">
        <f>C231+C239+C246+C251</f>
        <v>#REF!</v>
      </c>
      <c r="D254" s="379" t="e">
        <f>D231+D239+D246+D251</f>
        <v>#REF!</v>
      </c>
      <c r="E254" s="39" t="s">
        <v>67</v>
      </c>
    </row>
    <row r="256" spans="1:6" x14ac:dyDescent="0.2">
      <c r="B256" s="109" t="s">
        <v>585</v>
      </c>
    </row>
    <row r="257" spans="1:6" ht="13.5" thickBot="1" x14ac:dyDescent="0.25">
      <c r="B257" s="362" t="s">
        <v>608</v>
      </c>
    </row>
    <row r="258" spans="1:6" ht="13.5" thickBot="1" x14ac:dyDescent="0.25">
      <c r="B258" s="380" t="s">
        <v>136</v>
      </c>
      <c r="C258" s="107" t="e">
        <f>C224+C254</f>
        <v>#REF!</v>
      </c>
      <c r="D258" s="107" t="e">
        <f>D224+D254</f>
        <v>#REF!</v>
      </c>
      <c r="E258" s="39" t="s">
        <v>67</v>
      </c>
    </row>
    <row r="261" spans="1:6" ht="15" x14ac:dyDescent="0.25">
      <c r="A261" s="363" t="s">
        <v>514</v>
      </c>
      <c r="B261" s="364" t="s">
        <v>579</v>
      </c>
      <c r="C261" s="365" t="s">
        <v>516</v>
      </c>
      <c r="D261" s="366" t="s">
        <v>518</v>
      </c>
    </row>
    <row r="262" spans="1:6" ht="30" x14ac:dyDescent="0.25">
      <c r="A262" s="363" t="s">
        <v>557</v>
      </c>
      <c r="B262" s="364" t="s">
        <v>558</v>
      </c>
      <c r="C262" s="367" t="s">
        <v>559</v>
      </c>
      <c r="D262" s="366" t="s">
        <v>560</v>
      </c>
    </row>
    <row r="263" spans="1:6" ht="15" x14ac:dyDescent="0.25">
      <c r="A263" s="386"/>
      <c r="B263" s="386"/>
      <c r="C263" s="387"/>
      <c r="D263" s="388"/>
    </row>
    <row r="264" spans="1:6" ht="15" x14ac:dyDescent="0.25">
      <c r="A264" s="403" t="s">
        <v>445</v>
      </c>
      <c r="B264" s="386"/>
      <c r="C264" s="387"/>
      <c r="D264" s="388"/>
    </row>
    <row r="265" spans="1:6" ht="15" x14ac:dyDescent="0.25">
      <c r="A265" s="386"/>
      <c r="B265" s="386"/>
      <c r="C265" s="387"/>
      <c r="D265" s="388"/>
    </row>
    <row r="266" spans="1:6" x14ac:dyDescent="0.2">
      <c r="A266" s="300" t="s">
        <v>613</v>
      </c>
      <c r="F266" s="110" t="s">
        <v>491</v>
      </c>
    </row>
    <row r="267" spans="1:6" x14ac:dyDescent="0.2">
      <c r="B267" s="94"/>
      <c r="C267" s="94" t="s">
        <v>454</v>
      </c>
      <c r="E267" s="94" t="s">
        <v>457</v>
      </c>
      <c r="F267" s="94" t="s">
        <v>615</v>
      </c>
    </row>
    <row r="268" spans="1:6" x14ac:dyDescent="0.2">
      <c r="B268" s="94" t="str">
        <f>I186</f>
        <v>Parapet</v>
      </c>
      <c r="C268" s="94" t="s">
        <v>481</v>
      </c>
      <c r="D268" s="94" t="s">
        <v>457</v>
      </c>
      <c r="E268" s="94" t="s">
        <v>481</v>
      </c>
      <c r="F268" s="94" t="s">
        <v>481</v>
      </c>
    </row>
    <row r="269" spans="1:6" x14ac:dyDescent="0.2">
      <c r="B269" s="298" t="str">
        <f>I187</f>
        <v>Volume (cy)</v>
      </c>
      <c r="C269" s="298" t="s">
        <v>612</v>
      </c>
      <c r="D269" s="298" t="s">
        <v>603</v>
      </c>
      <c r="E269" s="298" t="s">
        <v>482</v>
      </c>
      <c r="F269" s="298" t="s">
        <v>482</v>
      </c>
    </row>
    <row r="270" spans="1:6" x14ac:dyDescent="0.2">
      <c r="A270" s="17" t="s">
        <v>465</v>
      </c>
      <c r="B270" s="308">
        <f>I188</f>
        <v>44.553600000000003</v>
      </c>
      <c r="C270" s="308">
        <f>4*B270</f>
        <v>178.21440000000001</v>
      </c>
      <c r="D270" s="308" t="e">
        <f>$C$164</f>
        <v>#REF!</v>
      </c>
      <c r="E270" s="308" t="e">
        <f>4*D270</f>
        <v>#REF!</v>
      </c>
      <c r="F270" s="102" t="e">
        <f>C270+E270</f>
        <v>#REF!</v>
      </c>
    </row>
    <row r="271" spans="1:6" x14ac:dyDescent="0.2">
      <c r="A271" s="38" t="s">
        <v>466</v>
      </c>
      <c r="B271" s="308">
        <f>I189</f>
        <v>44.740977777777786</v>
      </c>
      <c r="C271" s="308">
        <f>4*B271</f>
        <v>178.96391111111114</v>
      </c>
      <c r="D271" s="308" t="e">
        <f>$D$164</f>
        <v>#REF!</v>
      </c>
      <c r="E271" s="308" t="e">
        <f>4*D271</f>
        <v>#REF!</v>
      </c>
      <c r="F271" s="102" t="e">
        <f>C271+E271</f>
        <v>#REF!</v>
      </c>
    </row>
    <row r="273" spans="1:10" x14ac:dyDescent="0.2">
      <c r="A273" s="309" t="s">
        <v>483</v>
      </c>
    </row>
    <row r="274" spans="1:10" x14ac:dyDescent="0.2">
      <c r="A274" s="101" t="s">
        <v>484</v>
      </c>
    </row>
    <row r="276" spans="1:10" x14ac:dyDescent="0.2">
      <c r="A276" s="300"/>
    </row>
    <row r="277" spans="1:10" x14ac:dyDescent="0.2">
      <c r="A277" s="300" t="s">
        <v>614</v>
      </c>
    </row>
    <row r="279" spans="1:10" ht="15" x14ac:dyDescent="0.25">
      <c r="A279" s="296"/>
      <c r="B279" s="110"/>
      <c r="D279" s="110" t="s">
        <v>133</v>
      </c>
      <c r="E279" s="110" t="s">
        <v>485</v>
      </c>
      <c r="F279" s="94" t="s">
        <v>490</v>
      </c>
      <c r="J279" s="110"/>
    </row>
    <row r="280" spans="1:10" x14ac:dyDescent="0.2">
      <c r="B280" s="110" t="s">
        <v>447</v>
      </c>
      <c r="C280" s="298" t="s">
        <v>491</v>
      </c>
      <c r="D280" s="110" t="s">
        <v>486</v>
      </c>
      <c r="E280" s="110" t="s">
        <v>487</v>
      </c>
      <c r="F280" s="94" t="s">
        <v>481</v>
      </c>
    </row>
    <row r="281" spans="1:10" x14ac:dyDescent="0.2">
      <c r="B281" s="298" t="s">
        <v>488</v>
      </c>
      <c r="C281" s="298" t="s">
        <v>492</v>
      </c>
      <c r="D281" s="298" t="s">
        <v>489</v>
      </c>
      <c r="E281" s="298" t="s">
        <v>469</v>
      </c>
      <c r="F281" s="298" t="s">
        <v>482</v>
      </c>
      <c r="J281" s="110"/>
    </row>
    <row r="282" spans="1:10" x14ac:dyDescent="0.2">
      <c r="A282" s="17" t="s">
        <v>465</v>
      </c>
      <c r="B282" s="385">
        <v>2</v>
      </c>
      <c r="C282" s="74">
        <f>G295</f>
        <v>94.213203435596427</v>
      </c>
      <c r="D282" s="384">
        <f>84.03+2*10/12</f>
        <v>85.696666666666673</v>
      </c>
      <c r="E282" s="302">
        <f>B282*D282*C282/12</f>
        <v>1345.6262484031938</v>
      </c>
      <c r="F282" s="402">
        <f>ROUND(E282/9,-1)</f>
        <v>150</v>
      </c>
      <c r="J282" s="101"/>
    </row>
    <row r="283" spans="1:10" x14ac:dyDescent="0.2">
      <c r="A283" s="38" t="s">
        <v>466</v>
      </c>
      <c r="B283" s="385">
        <v>2</v>
      </c>
      <c r="C283" s="74">
        <f>G306</f>
        <v>118.97882455892871</v>
      </c>
      <c r="D283" s="384">
        <f>D282</f>
        <v>85.696666666666673</v>
      </c>
      <c r="E283" s="302">
        <f>B283*D283*C283/12</f>
        <v>1699.3481114363879</v>
      </c>
      <c r="F283" s="402">
        <f>ROUND(E283/9,-1)</f>
        <v>190</v>
      </c>
    </row>
    <row r="285" spans="1:10" x14ac:dyDescent="0.2">
      <c r="A285" s="392" t="s">
        <v>699</v>
      </c>
      <c r="B285" s="393"/>
      <c r="C285" s="393"/>
      <c r="D285" s="393"/>
      <c r="E285" s="393"/>
      <c r="F285" s="393"/>
      <c r="G285" s="394"/>
    </row>
    <row r="286" spans="1:10" x14ac:dyDescent="0.2">
      <c r="A286" s="57"/>
      <c r="B286" s="316" t="s">
        <v>493</v>
      </c>
      <c r="C286" s="316" t="s">
        <v>494</v>
      </c>
      <c r="D286" s="316" t="s">
        <v>495</v>
      </c>
      <c r="E286" s="316" t="s">
        <v>447</v>
      </c>
      <c r="F286" s="61"/>
      <c r="G286" s="369" t="s">
        <v>133</v>
      </c>
    </row>
    <row r="287" spans="1:10" x14ac:dyDescent="0.2">
      <c r="A287" s="57" t="s">
        <v>496</v>
      </c>
      <c r="B287" s="395">
        <v>26</v>
      </c>
      <c r="C287" s="395"/>
      <c r="D287" s="23"/>
      <c r="E287" s="102">
        <v>1</v>
      </c>
      <c r="F287" s="61"/>
      <c r="G287" s="396">
        <f t="shared" ref="G287:G294" si="5">IF(D287=0,(B287+C287)*E287,D287*E287)</f>
        <v>26</v>
      </c>
    </row>
    <row r="288" spans="1:10" x14ac:dyDescent="0.2">
      <c r="A288" s="57"/>
      <c r="B288" s="395"/>
      <c r="C288" s="397">
        <v>8</v>
      </c>
      <c r="D288" s="23"/>
      <c r="E288" s="102">
        <v>2</v>
      </c>
      <c r="F288" s="2"/>
      <c r="G288" s="396">
        <f t="shared" si="5"/>
        <v>16</v>
      </c>
    </row>
    <row r="289" spans="1:7" x14ac:dyDescent="0.2">
      <c r="A289" s="57" t="s">
        <v>497</v>
      </c>
      <c r="B289" s="395">
        <v>9</v>
      </c>
      <c r="C289" s="395">
        <v>9</v>
      </c>
      <c r="D289" s="23">
        <f>SQRT(B289^2+C289^2)</f>
        <v>12.727922061357855</v>
      </c>
      <c r="E289" s="102">
        <v>1</v>
      </c>
      <c r="F289" s="2"/>
      <c r="G289" s="396">
        <f t="shared" si="5"/>
        <v>12.727922061357855</v>
      </c>
    </row>
    <row r="290" spans="1:7" x14ac:dyDescent="0.2">
      <c r="A290" s="57"/>
      <c r="B290" s="395"/>
      <c r="C290" s="395"/>
      <c r="D290" s="23">
        <f>SQRT(B290^2+C290^2)</f>
        <v>0</v>
      </c>
      <c r="E290" s="102">
        <v>1</v>
      </c>
      <c r="F290" s="2"/>
      <c r="G290" s="396">
        <f t="shared" si="5"/>
        <v>0</v>
      </c>
    </row>
    <row r="291" spans="1:7" x14ac:dyDescent="0.2">
      <c r="A291" s="57" t="s">
        <v>498</v>
      </c>
      <c r="B291" s="395"/>
      <c r="C291" s="397">
        <v>23</v>
      </c>
      <c r="D291" s="23"/>
      <c r="E291" s="102">
        <v>1</v>
      </c>
      <c r="F291" s="2"/>
      <c r="G291" s="396">
        <f t="shared" si="5"/>
        <v>23</v>
      </c>
    </row>
    <row r="292" spans="1:7" x14ac:dyDescent="0.2">
      <c r="A292" s="57" t="s">
        <v>499</v>
      </c>
      <c r="B292" s="395">
        <v>6</v>
      </c>
      <c r="C292" s="395">
        <v>6</v>
      </c>
      <c r="D292" s="23">
        <f>SQRT(B292^2+C292^2)</f>
        <v>8.4852813742385695</v>
      </c>
      <c r="E292" s="102">
        <v>1</v>
      </c>
      <c r="F292" s="2"/>
      <c r="G292" s="396">
        <f t="shared" si="5"/>
        <v>8.4852813742385695</v>
      </c>
    </row>
    <row r="293" spans="1:7" x14ac:dyDescent="0.2">
      <c r="A293" s="57"/>
      <c r="B293" s="397"/>
      <c r="C293" s="395"/>
      <c r="D293" s="23">
        <f>SQRT(B293^2+C293^2)</f>
        <v>0</v>
      </c>
      <c r="E293" s="102">
        <v>1</v>
      </c>
      <c r="F293" s="2"/>
      <c r="G293" s="396">
        <f t="shared" si="5"/>
        <v>0</v>
      </c>
    </row>
    <row r="294" spans="1:7" x14ac:dyDescent="0.2">
      <c r="A294" s="57" t="s">
        <v>500</v>
      </c>
      <c r="B294" s="395"/>
      <c r="C294" s="395">
        <v>8</v>
      </c>
      <c r="D294" s="2"/>
      <c r="E294" s="102">
        <v>1</v>
      </c>
      <c r="F294" s="2"/>
      <c r="G294" s="398">
        <f t="shared" si="5"/>
        <v>8</v>
      </c>
    </row>
    <row r="295" spans="1:7" x14ac:dyDescent="0.2">
      <c r="A295" s="57"/>
      <c r="B295" s="2"/>
      <c r="C295" s="2"/>
      <c r="D295" s="2"/>
      <c r="E295" s="2"/>
      <c r="F295" s="2"/>
      <c r="G295" s="396">
        <f>SUM(G287:G294)</f>
        <v>94.213203435596427</v>
      </c>
    </row>
    <row r="296" spans="1:7" x14ac:dyDescent="0.2">
      <c r="A296" s="399" t="s">
        <v>700</v>
      </c>
      <c r="B296" s="2"/>
      <c r="C296" s="2"/>
      <c r="D296" s="2"/>
      <c r="E296" s="2"/>
      <c r="F296" s="2"/>
      <c r="G296" s="400"/>
    </row>
    <row r="297" spans="1:7" x14ac:dyDescent="0.2">
      <c r="A297" s="57"/>
      <c r="B297" s="316" t="s">
        <v>493</v>
      </c>
      <c r="C297" s="316" t="s">
        <v>494</v>
      </c>
      <c r="D297" s="316" t="s">
        <v>495</v>
      </c>
      <c r="E297" s="316" t="s">
        <v>447</v>
      </c>
      <c r="F297" s="61"/>
      <c r="G297" s="369" t="s">
        <v>133</v>
      </c>
    </row>
    <row r="298" spans="1:7" x14ac:dyDescent="0.2">
      <c r="A298" s="57" t="s">
        <v>496</v>
      </c>
      <c r="B298" s="395">
        <f>36+4</f>
        <v>40</v>
      </c>
      <c r="C298" s="395"/>
      <c r="D298" s="23"/>
      <c r="E298" s="102">
        <v>1</v>
      </c>
      <c r="F298" s="61"/>
      <c r="G298" s="396">
        <f t="shared" ref="G298:G304" si="6">IF(D298=0,(B298+C298)*E298,D298*E298)</f>
        <v>40</v>
      </c>
    </row>
    <row r="299" spans="1:7" x14ac:dyDescent="0.2">
      <c r="A299" s="57"/>
      <c r="B299" s="395"/>
      <c r="C299" s="397">
        <v>5.5</v>
      </c>
      <c r="D299" s="23"/>
      <c r="E299" s="102">
        <v>2</v>
      </c>
      <c r="F299" s="2"/>
      <c r="G299" s="396">
        <f t="shared" si="6"/>
        <v>11</v>
      </c>
    </row>
    <row r="300" spans="1:7" x14ac:dyDescent="0.2">
      <c r="A300" s="57" t="s">
        <v>497</v>
      </c>
      <c r="B300" s="395">
        <v>14</v>
      </c>
      <c r="C300" s="395">
        <v>7</v>
      </c>
      <c r="D300" s="23">
        <f>SQRT(B300^2+C300^2)</f>
        <v>15.652475842498529</v>
      </c>
      <c r="E300" s="102">
        <v>1</v>
      </c>
      <c r="F300" s="2"/>
      <c r="G300" s="396">
        <f t="shared" si="6"/>
        <v>15.652475842498529</v>
      </c>
    </row>
    <row r="301" spans="1:7" x14ac:dyDescent="0.2">
      <c r="A301" s="57"/>
      <c r="B301" s="395">
        <v>2</v>
      </c>
      <c r="C301" s="395">
        <v>2</v>
      </c>
      <c r="D301" s="23">
        <f>SQRT(B301^2+C301^2)</f>
        <v>2.8284271247461903</v>
      </c>
      <c r="E301" s="102">
        <v>1</v>
      </c>
      <c r="F301" s="2"/>
      <c r="G301" s="396">
        <f t="shared" si="6"/>
        <v>2.8284271247461903</v>
      </c>
    </row>
    <row r="302" spans="1:7" x14ac:dyDescent="0.2">
      <c r="A302" s="57" t="s">
        <v>498</v>
      </c>
      <c r="B302" s="395"/>
      <c r="C302" s="397">
        <v>22.5</v>
      </c>
      <c r="D302" s="23"/>
      <c r="E302" s="102">
        <v>1</v>
      </c>
      <c r="F302" s="2"/>
      <c r="G302" s="396">
        <f t="shared" si="6"/>
        <v>22.5</v>
      </c>
    </row>
    <row r="303" spans="1:7" x14ac:dyDescent="0.2">
      <c r="A303" s="57" t="s">
        <v>499</v>
      </c>
      <c r="B303" s="395">
        <v>3</v>
      </c>
      <c r="C303" s="395">
        <v>3</v>
      </c>
      <c r="D303" s="23">
        <f>SQRT(B303^2+C303^2)</f>
        <v>4.2426406871192848</v>
      </c>
      <c r="E303" s="102">
        <v>1</v>
      </c>
      <c r="F303" s="2"/>
      <c r="G303" s="396">
        <f t="shared" si="6"/>
        <v>4.2426406871192848</v>
      </c>
    </row>
    <row r="304" spans="1:7" x14ac:dyDescent="0.2">
      <c r="A304" s="57"/>
      <c r="B304" s="397">
        <v>17.5</v>
      </c>
      <c r="C304" s="395">
        <v>3</v>
      </c>
      <c r="D304" s="23">
        <f>SQRT(B304^2+C304^2)</f>
        <v>17.755280904564703</v>
      </c>
      <c r="E304" s="102">
        <v>1</v>
      </c>
      <c r="F304" s="2"/>
      <c r="G304" s="396">
        <f t="shared" si="6"/>
        <v>17.755280904564703</v>
      </c>
    </row>
    <row r="305" spans="1:11" x14ac:dyDescent="0.2">
      <c r="A305" s="57" t="s">
        <v>500</v>
      </c>
      <c r="B305" s="395"/>
      <c r="C305" s="395">
        <v>5</v>
      </c>
      <c r="D305" s="2"/>
      <c r="E305" s="102">
        <v>1</v>
      </c>
      <c r="F305" s="2"/>
      <c r="G305" s="398">
        <f>IF(I305=0,(B305+C305)*E305,I305*E305)</f>
        <v>5</v>
      </c>
    </row>
    <row r="306" spans="1:11" x14ac:dyDescent="0.2">
      <c r="A306" s="401"/>
      <c r="B306" s="289"/>
      <c r="C306" s="289"/>
      <c r="D306" s="289"/>
      <c r="E306" s="289"/>
      <c r="F306" s="289"/>
      <c r="G306" s="398">
        <f>SUM(G298:G305)</f>
        <v>118.97882455892871</v>
      </c>
    </row>
    <row r="309" spans="1:11" x14ac:dyDescent="0.2">
      <c r="B309" s="110" t="str">
        <f t="shared" ref="B309:B314" si="7">F266</f>
        <v xml:space="preserve">Total </v>
      </c>
    </row>
    <row r="310" spans="1:11" x14ac:dyDescent="0.2">
      <c r="B310" s="94" t="str">
        <f t="shared" si="7"/>
        <v>Parapet &amp; Dia.</v>
      </c>
      <c r="C310" s="94" t="str">
        <f>F279</f>
        <v>Total Beam</v>
      </c>
      <c r="D310" s="94"/>
    </row>
    <row r="311" spans="1:11" x14ac:dyDescent="0.2">
      <c r="B311" s="94" t="str">
        <f t="shared" si="7"/>
        <v>Surface</v>
      </c>
      <c r="C311" s="94" t="str">
        <f>F280</f>
        <v>Surface</v>
      </c>
      <c r="D311" s="94" t="s">
        <v>445</v>
      </c>
    </row>
    <row r="312" spans="1:11" x14ac:dyDescent="0.2">
      <c r="B312" s="298" t="str">
        <f t="shared" si="7"/>
        <v>Area (sq. yd.)</v>
      </c>
      <c r="C312" s="298" t="str">
        <f>F281</f>
        <v>Area (sq. yd.)</v>
      </c>
      <c r="D312" s="298" t="s">
        <v>619</v>
      </c>
    </row>
    <row r="313" spans="1:11" x14ac:dyDescent="0.2">
      <c r="A313" s="17" t="s">
        <v>465</v>
      </c>
      <c r="B313" s="301" t="e">
        <f t="shared" si="7"/>
        <v>#REF!</v>
      </c>
      <c r="C313" s="302">
        <f>F282</f>
        <v>150</v>
      </c>
      <c r="D313" s="390" t="e">
        <f>B313+C313</f>
        <v>#REF!</v>
      </c>
    </row>
    <row r="314" spans="1:11" x14ac:dyDescent="0.2">
      <c r="A314" s="38" t="s">
        <v>466</v>
      </c>
      <c r="B314" s="301" t="e">
        <f t="shared" si="7"/>
        <v>#REF!</v>
      </c>
      <c r="C314" s="302">
        <f>F283</f>
        <v>190</v>
      </c>
      <c r="D314" s="390" t="e">
        <f>B314+C314</f>
        <v>#REF!</v>
      </c>
    </row>
    <row r="316" spans="1:11" ht="15" x14ac:dyDescent="0.25">
      <c r="A316" s="403" t="s">
        <v>446</v>
      </c>
    </row>
    <row r="317" spans="1:11" x14ac:dyDescent="0.2">
      <c r="A317" s="300"/>
      <c r="K317" s="63"/>
    </row>
    <row r="318" spans="1:11" x14ac:dyDescent="0.2">
      <c r="B318" s="94" t="s">
        <v>438</v>
      </c>
      <c r="K318" s="312"/>
    </row>
    <row r="319" spans="1:11" x14ac:dyDescent="0.2">
      <c r="B319" s="94" t="s">
        <v>481</v>
      </c>
      <c r="C319" s="94" t="s">
        <v>617</v>
      </c>
      <c r="K319" s="312"/>
    </row>
    <row r="320" spans="1:11" x14ac:dyDescent="0.2">
      <c r="B320" s="298" t="s">
        <v>482</v>
      </c>
      <c r="C320" s="298" t="s">
        <v>452</v>
      </c>
      <c r="K320" s="312"/>
    </row>
    <row r="321" spans="1:11" x14ac:dyDescent="0.2">
      <c r="A321" s="38" t="s">
        <v>465</v>
      </c>
      <c r="B321" s="301" t="e">
        <f>C258</f>
        <v>#REF!</v>
      </c>
      <c r="C321" s="391" t="e">
        <f>B321</f>
        <v>#REF!</v>
      </c>
      <c r="K321" s="312"/>
    </row>
    <row r="322" spans="1:11" x14ac:dyDescent="0.2">
      <c r="A322" s="38" t="s">
        <v>466</v>
      </c>
      <c r="B322" s="301" t="e">
        <f>D258</f>
        <v>#REF!</v>
      </c>
      <c r="C322" s="391" t="e">
        <f>B322</f>
        <v>#REF!</v>
      </c>
      <c r="K322" s="312"/>
    </row>
    <row r="323" spans="1:11" x14ac:dyDescent="0.2">
      <c r="C323" s="38"/>
      <c r="E323" s="308"/>
      <c r="F323" s="8"/>
      <c r="G323" s="308"/>
      <c r="I323" s="301"/>
      <c r="K323" s="3"/>
    </row>
    <row r="324" spans="1:11" x14ac:dyDescent="0.2">
      <c r="C324" s="309" t="s">
        <v>502</v>
      </c>
      <c r="I324" s="301"/>
    </row>
    <row r="325" spans="1:11" ht="15.75" x14ac:dyDescent="0.25">
      <c r="A325" s="295"/>
      <c r="C325" s="101" t="s">
        <v>616</v>
      </c>
      <c r="E325" s="294"/>
      <c r="F325" s="293"/>
      <c r="G325" s="294"/>
    </row>
    <row r="328" spans="1:11" ht="15" x14ac:dyDescent="0.25">
      <c r="A328" s="403" t="s">
        <v>618</v>
      </c>
    </row>
    <row r="329" spans="1:11" x14ac:dyDescent="0.2">
      <c r="B329" s="110"/>
    </row>
    <row r="330" spans="1:11" x14ac:dyDescent="0.2">
      <c r="B330" s="94"/>
      <c r="C330" s="94"/>
      <c r="D330" s="109" t="s">
        <v>585</v>
      </c>
    </row>
    <row r="331" spans="1:11" x14ac:dyDescent="0.2">
      <c r="B331" s="94"/>
      <c r="C331" s="94"/>
      <c r="D331" s="362" t="s">
        <v>620</v>
      </c>
    </row>
    <row r="332" spans="1:11" ht="13.5" thickBot="1" x14ac:dyDescent="0.25">
      <c r="B332" s="298" t="s">
        <v>445</v>
      </c>
      <c r="C332" s="298" t="s">
        <v>446</v>
      </c>
      <c r="D332" s="389" t="s">
        <v>133</v>
      </c>
    </row>
    <row r="333" spans="1:11" ht="13.5" thickBot="1" x14ac:dyDescent="0.25">
      <c r="A333" s="17" t="s">
        <v>465</v>
      </c>
      <c r="B333" s="301" t="e">
        <f>D313</f>
        <v>#REF!</v>
      </c>
      <c r="C333" s="302" t="e">
        <f>C321</f>
        <v>#REF!</v>
      </c>
      <c r="D333" s="307" t="e">
        <f>B333+C333</f>
        <v>#REF!</v>
      </c>
    </row>
    <row r="334" spans="1:11" ht="13.5" thickBot="1" x14ac:dyDescent="0.25">
      <c r="A334" s="38" t="s">
        <v>466</v>
      </c>
      <c r="B334" s="301" t="e">
        <f>D314</f>
        <v>#REF!</v>
      </c>
      <c r="C334" s="302" t="e">
        <f>C322</f>
        <v>#REF!</v>
      </c>
      <c r="D334" s="307" t="e">
        <f>B334+C334</f>
        <v>#REF!</v>
      </c>
    </row>
    <row r="337" spans="1:4" ht="15" x14ac:dyDescent="0.25">
      <c r="A337" s="363" t="s">
        <v>514</v>
      </c>
      <c r="B337" s="364" t="s">
        <v>579</v>
      </c>
      <c r="C337" s="365" t="s">
        <v>516</v>
      </c>
      <c r="D337" s="366" t="s">
        <v>518</v>
      </c>
    </row>
    <row r="338" spans="1:4" ht="60" x14ac:dyDescent="0.25">
      <c r="A338" s="363" t="s">
        <v>561</v>
      </c>
      <c r="B338" s="364" t="s">
        <v>562</v>
      </c>
      <c r="C338" s="367" t="s">
        <v>563</v>
      </c>
      <c r="D338" s="366" t="s">
        <v>533</v>
      </c>
    </row>
    <row r="339" spans="1:4" ht="15" x14ac:dyDescent="0.25">
      <c r="A339" s="386"/>
      <c r="B339" s="386"/>
      <c r="C339" s="387"/>
      <c r="D339" s="388"/>
    </row>
    <row r="340" spans="1:4" x14ac:dyDescent="0.2">
      <c r="C340" s="109" t="s">
        <v>585</v>
      </c>
    </row>
    <row r="341" spans="1:4" x14ac:dyDescent="0.2">
      <c r="C341" s="362" t="s">
        <v>621</v>
      </c>
    </row>
    <row r="342" spans="1:4" x14ac:dyDescent="0.2">
      <c r="C342" s="109" t="s">
        <v>447</v>
      </c>
    </row>
    <row r="343" spans="1:4" x14ac:dyDescent="0.2">
      <c r="C343" s="109" t="s">
        <v>456</v>
      </c>
    </row>
    <row r="344" spans="1:4" ht="13.5" thickBot="1" x14ac:dyDescent="0.25">
      <c r="C344" s="304" t="s">
        <v>218</v>
      </c>
    </row>
    <row r="345" spans="1:4" ht="13.5" thickBot="1" x14ac:dyDescent="0.25">
      <c r="B345" s="17" t="s">
        <v>465</v>
      </c>
      <c r="C345" s="306">
        <f>'Rdwy Geometry'!C70</f>
        <v>7</v>
      </c>
    </row>
    <row r="346" spans="1:4" ht="13.5" thickBot="1" x14ac:dyDescent="0.25">
      <c r="B346" s="38" t="s">
        <v>466</v>
      </c>
      <c r="C346" s="306" t="e">
        <f>#REF!</f>
        <v>#REF!</v>
      </c>
    </row>
    <row r="349" spans="1:4" ht="15" x14ac:dyDescent="0.25">
      <c r="A349" s="363" t="s">
        <v>514</v>
      </c>
      <c r="B349" s="364" t="s">
        <v>579</v>
      </c>
      <c r="C349" s="365" t="s">
        <v>516</v>
      </c>
      <c r="D349" s="366" t="s">
        <v>518</v>
      </c>
    </row>
    <row r="350" spans="1:4" ht="15" x14ac:dyDescent="0.25">
      <c r="A350" s="363" t="s">
        <v>561</v>
      </c>
      <c r="B350" s="364" t="s">
        <v>564</v>
      </c>
      <c r="C350" s="365" t="s">
        <v>565</v>
      </c>
      <c r="D350" s="366" t="s">
        <v>533</v>
      </c>
    </row>
    <row r="352" spans="1:4" x14ac:dyDescent="0.2">
      <c r="D352" s="109" t="s">
        <v>585</v>
      </c>
    </row>
    <row r="353" spans="1:5" x14ac:dyDescent="0.2">
      <c r="B353" s="94"/>
      <c r="D353" s="362" t="s">
        <v>626</v>
      </c>
    </row>
    <row r="354" spans="1:5" x14ac:dyDescent="0.2">
      <c r="B354" s="301" t="s">
        <v>622</v>
      </c>
      <c r="C354" s="301" t="s">
        <v>622</v>
      </c>
      <c r="D354" s="358" t="s">
        <v>491</v>
      </c>
    </row>
    <row r="355" spans="1:5" ht="13.5" thickBot="1" x14ac:dyDescent="0.25">
      <c r="B355" s="404" t="s">
        <v>623</v>
      </c>
      <c r="C355" s="404" t="s">
        <v>624</v>
      </c>
      <c r="D355" s="406" t="s">
        <v>625</v>
      </c>
    </row>
    <row r="356" spans="1:5" ht="13.5" thickBot="1" x14ac:dyDescent="0.25">
      <c r="A356" s="17" t="s">
        <v>465</v>
      </c>
      <c r="B356" s="94">
        <v>2</v>
      </c>
      <c r="C356" s="301">
        <f>C345-1</f>
        <v>6</v>
      </c>
      <c r="D356" s="307">
        <f>C356*B356</f>
        <v>12</v>
      </c>
    </row>
    <row r="357" spans="1:5" ht="13.5" thickBot="1" x14ac:dyDescent="0.25">
      <c r="A357" s="38" t="s">
        <v>466</v>
      </c>
      <c r="B357" s="94">
        <v>2</v>
      </c>
      <c r="C357" s="301" t="e">
        <f>C346-1</f>
        <v>#REF!</v>
      </c>
      <c r="D357" s="307" t="e">
        <f>C357*B357</f>
        <v>#REF!</v>
      </c>
    </row>
    <row r="360" spans="1:5" ht="15" x14ac:dyDescent="0.25">
      <c r="A360" s="363" t="s">
        <v>514</v>
      </c>
      <c r="B360" s="364" t="s">
        <v>579</v>
      </c>
      <c r="C360" s="365" t="s">
        <v>516</v>
      </c>
      <c r="D360" s="366" t="s">
        <v>518</v>
      </c>
    </row>
    <row r="361" spans="1:5" ht="30.75" thickBot="1" x14ac:dyDescent="0.3">
      <c r="A361" s="407" t="s">
        <v>569</v>
      </c>
      <c r="B361" s="408" t="s">
        <v>661</v>
      </c>
      <c r="C361" s="439" t="s">
        <v>659</v>
      </c>
      <c r="D361" s="409" t="s">
        <v>560</v>
      </c>
    </row>
    <row r="362" spans="1:5" ht="13.5" thickTop="1" x14ac:dyDescent="0.2"/>
    <row r="364" spans="1:5" x14ac:dyDescent="0.2">
      <c r="A364" s="39"/>
      <c r="B364" s="290"/>
      <c r="E364" s="109" t="s">
        <v>585</v>
      </c>
    </row>
    <row r="365" spans="1:5" x14ac:dyDescent="0.2">
      <c r="A365" s="39"/>
      <c r="B365" s="638" t="s">
        <v>448</v>
      </c>
      <c r="C365" s="638"/>
      <c r="E365" s="362" t="s">
        <v>660</v>
      </c>
    </row>
    <row r="366" spans="1:5" x14ac:dyDescent="0.2">
      <c r="B366" s="110" t="s">
        <v>443</v>
      </c>
      <c r="C366" s="110" t="s">
        <v>479</v>
      </c>
      <c r="D366" s="94" t="s">
        <v>480</v>
      </c>
      <c r="E366" s="109" t="s">
        <v>449</v>
      </c>
    </row>
    <row r="367" spans="1:5" ht="13.5" thickBot="1" x14ac:dyDescent="0.25">
      <c r="B367" s="298" t="s">
        <v>450</v>
      </c>
      <c r="C367" s="298" t="s">
        <v>450</v>
      </c>
      <c r="D367" s="298" t="s">
        <v>450</v>
      </c>
      <c r="E367" s="310" t="s">
        <v>452</v>
      </c>
    </row>
    <row r="368" spans="1:5" ht="13.5" thickBot="1" x14ac:dyDescent="0.25">
      <c r="A368" s="38" t="s">
        <v>465</v>
      </c>
      <c r="B368" s="290">
        <v>30</v>
      </c>
      <c r="C368" s="290">
        <v>30</v>
      </c>
      <c r="D368" s="383">
        <f>AVERAGE(62.3,61)</f>
        <v>61.65</v>
      </c>
      <c r="E368" s="307">
        <f>((B368+C368)*D368)/9</f>
        <v>411</v>
      </c>
    </row>
    <row r="369" spans="1:10" ht="13.5" thickBot="1" x14ac:dyDescent="0.25">
      <c r="A369" s="38" t="s">
        <v>466</v>
      </c>
      <c r="B369" s="290">
        <v>30</v>
      </c>
      <c r="C369" s="290">
        <v>30</v>
      </c>
      <c r="D369" s="383">
        <f>AVERAGE(62.3,61)</f>
        <v>61.65</v>
      </c>
      <c r="E369" s="307">
        <f>((B369+C369)*D369)/9</f>
        <v>411</v>
      </c>
    </row>
    <row r="370" spans="1:10" x14ac:dyDescent="0.2">
      <c r="A370" s="38"/>
      <c r="I370" s="301"/>
    </row>
    <row r="371" spans="1:10" x14ac:dyDescent="0.2">
      <c r="A371" s="38"/>
      <c r="B371" s="101" t="s">
        <v>701</v>
      </c>
      <c r="E371" s="290"/>
      <c r="G371" s="291"/>
      <c r="I371" s="301"/>
      <c r="J371" s="108"/>
    </row>
    <row r="372" spans="1:10" x14ac:dyDescent="0.2">
      <c r="B372" s="101" t="s">
        <v>702</v>
      </c>
    </row>
    <row r="374" spans="1:10" x14ac:dyDescent="0.2">
      <c r="A374" s="300" t="s">
        <v>627</v>
      </c>
    </row>
    <row r="375" spans="1:10" x14ac:dyDescent="0.2">
      <c r="A375" s="300"/>
    </row>
    <row r="376" spans="1:10" x14ac:dyDescent="0.2">
      <c r="A376" s="39" t="s">
        <v>46</v>
      </c>
      <c r="C376" s="381" t="s">
        <v>587</v>
      </c>
      <c r="D376" s="381" t="s">
        <v>592</v>
      </c>
    </row>
    <row r="377" spans="1:10" x14ac:dyDescent="0.2">
      <c r="A377" s="39"/>
      <c r="B377" s="72" t="str">
        <f>B133</f>
        <v>Average Rdwy Elev. =</v>
      </c>
      <c r="C377" s="70">
        <f>C133</f>
        <v>758.49465547370653</v>
      </c>
      <c r="D377" s="70" t="e">
        <f>D133</f>
        <v>#REF!</v>
      </c>
      <c r="E377" s="70" t="str">
        <f>E133</f>
        <v>ft</v>
      </c>
    </row>
    <row r="378" spans="1:10" x14ac:dyDescent="0.2">
      <c r="A378" s="39"/>
      <c r="B378" s="72" t="str">
        <f>B206</f>
        <v>B/Footing Elev. =</v>
      </c>
      <c r="C378" s="70">
        <f>C206</f>
        <v>745.5</v>
      </c>
      <c r="D378" s="70" t="e">
        <f>D206</f>
        <v>#REF!</v>
      </c>
      <c r="E378" s="70" t="str">
        <f>E206</f>
        <v xml:space="preserve">ft </v>
      </c>
    </row>
    <row r="379" spans="1:10" x14ac:dyDescent="0.2">
      <c r="B379" s="38" t="s">
        <v>135</v>
      </c>
      <c r="C379" s="52">
        <f>17/12</f>
        <v>1.4166666666666667</v>
      </c>
      <c r="D379" s="52">
        <f>17/12</f>
        <v>1.4166666666666667</v>
      </c>
      <c r="E379" s="39" t="s">
        <v>19</v>
      </c>
      <c r="G379" s="39"/>
    </row>
    <row r="380" spans="1:10" x14ac:dyDescent="0.2">
      <c r="B380" s="38" t="s">
        <v>632</v>
      </c>
      <c r="C380" s="79">
        <f>C377-C378-C379</f>
        <v>11.577988807039864</v>
      </c>
      <c r="D380" s="79" t="e">
        <f>D377-D378-D379</f>
        <v>#REF!</v>
      </c>
      <c r="E380" s="39" t="s">
        <v>19</v>
      </c>
      <c r="F380" s="39" t="s">
        <v>630</v>
      </c>
    </row>
    <row r="381" spans="1:10" x14ac:dyDescent="0.2">
      <c r="B381" s="373" t="str">
        <f>B214</f>
        <v>Footing Width =</v>
      </c>
      <c r="C381" s="79">
        <f>C214</f>
        <v>6.5</v>
      </c>
      <c r="D381" s="79">
        <f>D214</f>
        <v>6.5</v>
      </c>
      <c r="E381" s="79" t="str">
        <f>E214</f>
        <v>ft</v>
      </c>
      <c r="G381" s="39"/>
    </row>
    <row r="382" spans="1:10" x14ac:dyDescent="0.2">
      <c r="B382" s="373" t="str">
        <f>B139</f>
        <v>Diaphragm Width =</v>
      </c>
      <c r="C382" s="79">
        <f>C139</f>
        <v>4.25</v>
      </c>
      <c r="D382" s="79">
        <f>D139</f>
        <v>4.8333300000000001</v>
      </c>
      <c r="E382" s="79" t="str">
        <f>E139</f>
        <v>ft</v>
      </c>
      <c r="G382" s="39"/>
    </row>
    <row r="383" spans="1:10" x14ac:dyDescent="0.2">
      <c r="B383" s="38" t="s">
        <v>633</v>
      </c>
      <c r="C383" s="79">
        <f>(C381-C382)/2</f>
        <v>1.125</v>
      </c>
      <c r="D383" s="79">
        <f>(D381-D382)/2</f>
        <v>0.83333499999999994</v>
      </c>
      <c r="E383" s="39" t="s">
        <v>19</v>
      </c>
      <c r="F383" t="s">
        <v>629</v>
      </c>
      <c r="G383" s="39"/>
    </row>
    <row r="384" spans="1:10" x14ac:dyDescent="0.2">
      <c r="B384" s="38" t="s">
        <v>631</v>
      </c>
      <c r="C384" s="410">
        <f>'Rdwy Geometry'!$G$105</f>
        <v>0.28255910962425979</v>
      </c>
      <c r="D384" s="410" t="e">
        <f>#REF!</f>
        <v>#REF!</v>
      </c>
      <c r="E384" s="39" t="s">
        <v>634</v>
      </c>
      <c r="G384" s="39"/>
    </row>
    <row r="385" spans="1:6" ht="38.25" x14ac:dyDescent="0.2">
      <c r="B385" s="411" t="s">
        <v>635</v>
      </c>
      <c r="C385" s="79">
        <f>MIN(1.5*(C380+C383+1.5)/COS(C384),30)</f>
        <v>22.184196001385981</v>
      </c>
      <c r="D385" s="79" t="e">
        <f>MIN(1.5*(D380+D383+1.5)/COS(D384),30)</f>
        <v>#REF!</v>
      </c>
      <c r="E385" s="39" t="s">
        <v>134</v>
      </c>
    </row>
    <row r="386" spans="1:6" x14ac:dyDescent="0.2">
      <c r="B386" s="38" t="s">
        <v>628</v>
      </c>
      <c r="C386" s="39">
        <v>30</v>
      </c>
      <c r="D386" s="39">
        <v>30</v>
      </c>
      <c r="E386" s="39" t="s">
        <v>134</v>
      </c>
      <c r="F386" s="39" t="s">
        <v>662</v>
      </c>
    </row>
    <row r="388" spans="1:6" x14ac:dyDescent="0.2">
      <c r="A388" s="39" t="s">
        <v>636</v>
      </c>
      <c r="C388" s="381" t="s">
        <v>587</v>
      </c>
      <c r="D388" s="381" t="s">
        <v>592</v>
      </c>
    </row>
    <row r="389" spans="1:6" x14ac:dyDescent="0.2">
      <c r="A389" s="39"/>
      <c r="B389" s="72" t="str">
        <f>B148</f>
        <v>Average Rdwy Elev. =</v>
      </c>
      <c r="C389" s="72" t="e">
        <f>C148</f>
        <v>#REF!</v>
      </c>
      <c r="D389" s="72" t="e">
        <f>D148</f>
        <v>#REF!</v>
      </c>
      <c r="E389" s="70" t="str">
        <f>E145</f>
        <v>cy</v>
      </c>
    </row>
    <row r="390" spans="1:6" x14ac:dyDescent="0.2">
      <c r="A390" s="39"/>
      <c r="B390" s="72" t="str">
        <f>B236</f>
        <v>B/Footing Elev. =</v>
      </c>
      <c r="C390" s="72" t="e">
        <f>C236</f>
        <v>#REF!</v>
      </c>
      <c r="D390" s="72" t="e">
        <f>D236</f>
        <v>#REF!</v>
      </c>
      <c r="E390" s="412" t="str">
        <f>E236</f>
        <v xml:space="preserve">ft </v>
      </c>
    </row>
    <row r="391" spans="1:6" x14ac:dyDescent="0.2">
      <c r="B391" s="38" t="s">
        <v>135</v>
      </c>
      <c r="C391" s="52">
        <v>1.25</v>
      </c>
      <c r="D391" s="52">
        <v>1.25</v>
      </c>
      <c r="E391" s="39" t="s">
        <v>19</v>
      </c>
    </row>
    <row r="392" spans="1:6" x14ac:dyDescent="0.2">
      <c r="B392" s="38" t="s">
        <v>632</v>
      </c>
      <c r="C392" s="79" t="e">
        <f>C389-C390-C391</f>
        <v>#REF!</v>
      </c>
      <c r="D392" s="79" t="e">
        <f>D389-D390-D391</f>
        <v>#REF!</v>
      </c>
      <c r="E392" s="39" t="s">
        <v>19</v>
      </c>
      <c r="F392" s="39" t="s">
        <v>630</v>
      </c>
    </row>
    <row r="393" spans="1:6" x14ac:dyDescent="0.2">
      <c r="B393" s="373" t="str">
        <f>B244</f>
        <v>Footing Width =</v>
      </c>
      <c r="C393" s="79">
        <f>C244</f>
        <v>6.5</v>
      </c>
      <c r="D393" s="79">
        <f>D244</f>
        <v>6.5</v>
      </c>
      <c r="E393" s="413" t="str">
        <f>E154</f>
        <v>ft</v>
      </c>
    </row>
    <row r="394" spans="1:6" x14ac:dyDescent="0.2">
      <c r="B394" s="373" t="str">
        <f>B154</f>
        <v>Diaphragm Width =</v>
      </c>
      <c r="C394" s="79">
        <f>C154</f>
        <v>4.25</v>
      </c>
      <c r="D394" s="79">
        <f>D154</f>
        <v>4.8333300000000001</v>
      </c>
      <c r="E394" s="413" t="str">
        <f>E155</f>
        <v>ft</v>
      </c>
    </row>
    <row r="395" spans="1:6" x14ac:dyDescent="0.2">
      <c r="B395" s="38" t="s">
        <v>633</v>
      </c>
      <c r="C395" s="79">
        <f>(C393-C394)/2</f>
        <v>1.125</v>
      </c>
      <c r="D395" s="79">
        <f>(D393-D394)/2</f>
        <v>0.83333499999999994</v>
      </c>
      <c r="E395" s="39" t="s">
        <v>19</v>
      </c>
      <c r="F395" t="s">
        <v>629</v>
      </c>
    </row>
    <row r="396" spans="1:6" x14ac:dyDescent="0.2">
      <c r="B396" s="38" t="s">
        <v>631</v>
      </c>
      <c r="C396" s="410">
        <f>'Rdwy Geometry'!$G$105</f>
        <v>0.28255910962425979</v>
      </c>
      <c r="D396" s="410" t="e">
        <f>#REF!</f>
        <v>#REF!</v>
      </c>
      <c r="E396" s="39" t="s">
        <v>634</v>
      </c>
    </row>
    <row r="397" spans="1:6" ht="38.25" x14ac:dyDescent="0.2">
      <c r="B397" s="411" t="s">
        <v>635</v>
      </c>
      <c r="C397" s="79" t="e">
        <f>MIN(1.5*(C392+C395+1.5)/COS(C396),30)</f>
        <v>#REF!</v>
      </c>
      <c r="D397" s="79" t="e">
        <f>MIN(1.5*(D392+D395+1.5)/COS(D396),30)</f>
        <v>#REF!</v>
      </c>
      <c r="E397" s="39" t="s">
        <v>134</v>
      </c>
    </row>
    <row r="398" spans="1:6" x14ac:dyDescent="0.2">
      <c r="B398" s="38" t="s">
        <v>628</v>
      </c>
      <c r="C398" s="39">
        <v>30</v>
      </c>
      <c r="D398" s="39">
        <v>30</v>
      </c>
      <c r="E398" s="39" t="s">
        <v>134</v>
      </c>
      <c r="F398" s="39" t="s">
        <v>662</v>
      </c>
    </row>
  </sheetData>
  <mergeCells count="5">
    <mergeCell ref="B365:C365"/>
    <mergeCell ref="B44:E44"/>
    <mergeCell ref="F44:I44"/>
    <mergeCell ref="B51:E51"/>
    <mergeCell ref="F51:I51"/>
  </mergeCells>
  <pageMargins left="0.7" right="0.7" top="0.75" bottom="0.75" header="0.3" footer="0.3"/>
  <pageSetup scale="71" orientation="landscape"/>
  <rowBreaks count="8" manualBreakCount="8">
    <brk id="21" max="8" man="1"/>
    <brk id="67" max="8" man="1"/>
    <brk id="100" max="8" man="1"/>
    <brk id="165" max="8" man="1"/>
    <brk id="191" max="8" man="1"/>
    <brk id="225" max="8" man="1"/>
    <brk id="260" max="8" man="1"/>
    <brk id="359" max="8"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293"/>
  <sheetViews>
    <sheetView tabSelected="1" view="pageBreakPreview" topLeftCell="A47" zoomScaleNormal="70" zoomScaleSheetLayoutView="100" workbookViewId="0">
      <selection activeCell="L61" sqref="L61"/>
    </sheetView>
  </sheetViews>
  <sheetFormatPr defaultRowHeight="12.75" x14ac:dyDescent="0.2"/>
  <cols>
    <col min="1" max="1" width="8.7109375" customWidth="1"/>
    <col min="2" max="2" width="11.7109375" customWidth="1"/>
    <col min="3" max="4" width="11.85546875" customWidth="1"/>
    <col min="5" max="5" width="14.42578125" customWidth="1"/>
    <col min="6" max="6" width="13.7109375" customWidth="1"/>
    <col min="7" max="7" width="11.85546875" customWidth="1"/>
    <col min="8" max="10" width="11.7109375" customWidth="1"/>
    <col min="11" max="11" width="10.7109375" customWidth="1"/>
    <col min="12" max="16" width="11.7109375" customWidth="1"/>
    <col min="17" max="17" width="14" customWidth="1"/>
    <col min="18" max="18" width="14.28515625" customWidth="1"/>
    <col min="19" max="19" width="13.7109375" customWidth="1"/>
    <col min="20" max="20" width="11.7109375" customWidth="1"/>
    <col min="22" max="22" width="12.140625" customWidth="1"/>
    <col min="23" max="23" width="13.7109375" customWidth="1"/>
    <col min="24" max="24" width="14.5703125" customWidth="1"/>
  </cols>
  <sheetData>
    <row r="1" spans="1:12" ht="20.25" x14ac:dyDescent="0.3">
      <c r="A1" s="658" t="s">
        <v>81</v>
      </c>
      <c r="B1" s="658"/>
      <c r="C1" s="658"/>
      <c r="D1" s="658"/>
      <c r="E1" s="658"/>
      <c r="F1" s="658"/>
      <c r="G1" s="658"/>
      <c r="H1" s="658"/>
      <c r="I1" s="658"/>
      <c r="J1" s="658"/>
      <c r="K1" s="658"/>
    </row>
    <row r="2" spans="1:12" ht="18" x14ac:dyDescent="0.25">
      <c r="A2" s="659" t="s">
        <v>712</v>
      </c>
      <c r="B2" s="659"/>
      <c r="C2" s="659"/>
      <c r="D2" s="659"/>
      <c r="E2" s="659"/>
      <c r="F2" s="659"/>
      <c r="G2" s="659"/>
      <c r="H2" s="659"/>
      <c r="I2" s="659"/>
      <c r="J2" s="659"/>
      <c r="K2" s="659"/>
    </row>
    <row r="3" spans="1:12" ht="15.75" x14ac:dyDescent="0.25">
      <c r="A3" s="660" t="s">
        <v>711</v>
      </c>
      <c r="B3" s="660"/>
      <c r="C3" s="660"/>
      <c r="D3" s="660"/>
      <c r="E3" s="660"/>
      <c r="F3" s="660"/>
      <c r="G3" s="660"/>
      <c r="H3" s="660"/>
      <c r="I3" s="660"/>
      <c r="J3" s="660"/>
      <c r="K3" s="660"/>
    </row>
    <row r="4" spans="1:12" x14ac:dyDescent="0.2">
      <c r="A4" s="80"/>
      <c r="B4" s="80"/>
      <c r="C4" s="80" t="s">
        <v>13</v>
      </c>
      <c r="D4" s="80" t="s">
        <v>710</v>
      </c>
      <c r="E4" s="17" t="s">
        <v>15</v>
      </c>
      <c r="F4" s="25">
        <v>41960</v>
      </c>
      <c r="G4" s="80"/>
      <c r="H4" s="17" t="s">
        <v>28</v>
      </c>
      <c r="I4" s="25"/>
      <c r="J4" s="80"/>
      <c r="K4" s="80"/>
    </row>
    <row r="5" spans="1:12" x14ac:dyDescent="0.2">
      <c r="A5" s="80"/>
      <c r="B5" s="80"/>
      <c r="C5" s="80" t="s">
        <v>14</v>
      </c>
      <c r="D5" s="80" t="s">
        <v>848</v>
      </c>
      <c r="E5" s="17" t="s">
        <v>15</v>
      </c>
      <c r="F5" s="826">
        <v>42030</v>
      </c>
      <c r="G5" s="80"/>
      <c r="H5" s="80"/>
      <c r="I5" s="80"/>
      <c r="J5" s="80"/>
      <c r="K5" s="80"/>
    </row>
    <row r="6" spans="1:12" x14ac:dyDescent="0.2">
      <c r="A6" s="80"/>
      <c r="B6" s="80"/>
      <c r="C6" s="80"/>
      <c r="D6" s="80"/>
      <c r="E6" s="17"/>
      <c r="F6" s="25"/>
      <c r="G6" s="80"/>
      <c r="H6" s="80"/>
      <c r="I6" s="80"/>
      <c r="J6" s="80"/>
      <c r="K6" s="80"/>
    </row>
    <row r="7" spans="1:12" x14ac:dyDescent="0.2">
      <c r="A7" s="36" t="s">
        <v>29</v>
      </c>
      <c r="B7" s="80"/>
      <c r="C7" s="80"/>
      <c r="D7" s="80"/>
      <c r="H7" s="80"/>
      <c r="I7" s="80"/>
      <c r="J7" s="80"/>
      <c r="K7" s="80"/>
    </row>
    <row r="8" spans="1:12" x14ac:dyDescent="0.2">
      <c r="A8" s="36" t="s">
        <v>843</v>
      </c>
      <c r="C8" s="80"/>
      <c r="D8" s="17"/>
      <c r="E8" s="36" t="s">
        <v>30</v>
      </c>
      <c r="F8" s="80"/>
      <c r="G8" s="80"/>
      <c r="H8" s="17"/>
    </row>
    <row r="9" spans="1:12" x14ac:dyDescent="0.2">
      <c r="A9" s="80"/>
      <c r="B9" s="38" t="s">
        <v>25</v>
      </c>
      <c r="C9" s="508">
        <v>0.75</v>
      </c>
      <c r="D9" s="39" t="s">
        <v>20</v>
      </c>
      <c r="E9" s="38" t="s">
        <v>31</v>
      </c>
      <c r="F9" s="52">
        <v>2</v>
      </c>
      <c r="G9" s="39" t="s">
        <v>19</v>
      </c>
      <c r="H9" s="39"/>
    </row>
    <row r="10" spans="1:12" x14ac:dyDescent="0.2">
      <c r="A10" s="104"/>
      <c r="B10" s="38" t="s">
        <v>36</v>
      </c>
      <c r="C10" s="508">
        <v>6</v>
      </c>
      <c r="D10" s="490" t="s">
        <v>20</v>
      </c>
      <c r="E10" s="38" t="s">
        <v>32</v>
      </c>
      <c r="F10" s="55">
        <v>3</v>
      </c>
      <c r="G10" s="39" t="s">
        <v>19</v>
      </c>
      <c r="H10" s="39"/>
    </row>
    <row r="11" spans="1:12" x14ac:dyDescent="0.2">
      <c r="A11" s="10"/>
      <c r="B11" s="38" t="s">
        <v>34</v>
      </c>
      <c r="C11" s="508">
        <v>2</v>
      </c>
      <c r="D11" s="490" t="s">
        <v>20</v>
      </c>
      <c r="E11" s="17" t="s">
        <v>18</v>
      </c>
      <c r="F11" s="32">
        <f>SUM(F9:F10)</f>
        <v>5</v>
      </c>
      <c r="G11" s="39" t="s">
        <v>19</v>
      </c>
      <c r="H11" s="39"/>
    </row>
    <row r="12" spans="1:12" x14ac:dyDescent="0.2">
      <c r="A12" s="10"/>
      <c r="B12" s="38" t="s">
        <v>37</v>
      </c>
      <c r="C12" s="509">
        <v>4.5</v>
      </c>
      <c r="D12" s="490" t="s">
        <v>20</v>
      </c>
      <c r="E12" s="462"/>
      <c r="F12" s="462"/>
      <c r="H12" s="39"/>
    </row>
    <row r="13" spans="1:12" x14ac:dyDescent="0.2">
      <c r="A13" s="80"/>
      <c r="B13" s="38"/>
      <c r="C13" s="32">
        <f>SUM(C9:C12)</f>
        <v>13.25</v>
      </c>
      <c r="D13" s="39" t="s">
        <v>20</v>
      </c>
      <c r="E13" s="56" t="s">
        <v>33</v>
      </c>
      <c r="F13" s="462"/>
      <c r="H13" s="39"/>
      <c r="L13" s="488"/>
    </row>
    <row r="14" spans="1:12" x14ac:dyDescent="0.2">
      <c r="A14" s="80"/>
      <c r="B14" s="17" t="s">
        <v>18</v>
      </c>
      <c r="C14" s="32">
        <f>SUM(C9:C13)/12</f>
        <v>2.2083333333333335</v>
      </c>
      <c r="D14" s="39" t="s">
        <v>19</v>
      </c>
      <c r="E14" s="38" t="s">
        <v>35</v>
      </c>
      <c r="F14" s="52">
        <v>4</v>
      </c>
      <c r="G14" s="39" t="s">
        <v>19</v>
      </c>
      <c r="H14" s="39"/>
    </row>
    <row r="15" spans="1:12" x14ac:dyDescent="0.2">
      <c r="A15" s="80"/>
    </row>
    <row r="16" spans="1:12" x14ac:dyDescent="0.2">
      <c r="A16" s="80"/>
      <c r="E16" s="38" t="s">
        <v>38</v>
      </c>
      <c r="F16" s="52">
        <v>1</v>
      </c>
      <c r="G16" s="39" t="s">
        <v>19</v>
      </c>
    </row>
    <row r="17" spans="1:14" x14ac:dyDescent="0.2">
      <c r="A17" s="80"/>
      <c r="C17" s="70"/>
      <c r="E17" s="38" t="s">
        <v>32</v>
      </c>
      <c r="F17" s="55">
        <v>3</v>
      </c>
      <c r="G17" s="39" t="s">
        <v>19</v>
      </c>
    </row>
    <row r="18" spans="1:14" x14ac:dyDescent="0.2">
      <c r="A18" s="80"/>
      <c r="E18" s="17" t="s">
        <v>18</v>
      </c>
      <c r="F18" s="32">
        <f>SUM(F16:F17)</f>
        <v>4</v>
      </c>
      <c r="G18" s="80"/>
    </row>
    <row r="19" spans="1:14" x14ac:dyDescent="0.2">
      <c r="A19" s="80"/>
    </row>
    <row r="20" spans="1:14" x14ac:dyDescent="0.2">
      <c r="A20" s="462"/>
      <c r="B20" s="17"/>
      <c r="C20" s="32"/>
      <c r="D20" s="39"/>
      <c r="E20" s="462"/>
      <c r="F20" s="17"/>
      <c r="G20" s="32"/>
      <c r="H20" s="39"/>
    </row>
    <row r="21" spans="1:14" x14ac:dyDescent="0.2">
      <c r="A21" s="16" t="s">
        <v>131</v>
      </c>
      <c r="B21" s="37"/>
      <c r="C21" s="37"/>
      <c r="D21" s="37"/>
      <c r="E21" s="37"/>
      <c r="F21" s="61"/>
      <c r="G21" s="61"/>
      <c r="H21" s="69"/>
      <c r="I21" s="604"/>
      <c r="J21" s="604"/>
      <c r="K21" s="604"/>
    </row>
    <row r="22" spans="1:14" x14ac:dyDescent="0.2">
      <c r="A22" s="44"/>
      <c r="B22" s="37"/>
      <c r="C22" s="37"/>
      <c r="D22" s="98" t="s">
        <v>832</v>
      </c>
      <c r="E22" s="98" t="s">
        <v>833</v>
      </c>
      <c r="F22" s="98" t="s">
        <v>834</v>
      </c>
      <c r="G22" s="98" t="s">
        <v>835</v>
      </c>
      <c r="H22" s="69" t="s">
        <v>836</v>
      </c>
      <c r="I22" s="69" t="s">
        <v>837</v>
      </c>
      <c r="J22" s="69" t="s">
        <v>838</v>
      </c>
      <c r="K22" s="603"/>
    </row>
    <row r="23" spans="1:14" x14ac:dyDescent="0.2">
      <c r="A23" s="44"/>
      <c r="B23" s="37"/>
      <c r="C23" s="99" t="s">
        <v>844</v>
      </c>
      <c r="D23" s="291">
        <v>2.44</v>
      </c>
      <c r="E23" s="605">
        <v>2.4900000000000002</v>
      </c>
      <c r="F23" s="291">
        <v>2.4</v>
      </c>
      <c r="G23" s="291">
        <v>2.4</v>
      </c>
      <c r="H23" s="597">
        <v>2.42</v>
      </c>
      <c r="I23" s="24">
        <v>2.74</v>
      </c>
      <c r="J23" s="24">
        <v>3</v>
      </c>
      <c r="K23" s="91" t="s">
        <v>20</v>
      </c>
      <c r="M23" s="488"/>
      <c r="N23" s="39"/>
    </row>
    <row r="24" spans="1:14" x14ac:dyDescent="0.2">
      <c r="A24" s="44"/>
      <c r="B24" s="37"/>
      <c r="C24" s="99" t="s">
        <v>839</v>
      </c>
      <c r="D24" s="291">
        <f>'Topping Thickness'!K32</f>
        <v>12.934619999999999</v>
      </c>
      <c r="E24" s="605">
        <f>'Topping Thickness'!K37</f>
        <v>12.799620000000001</v>
      </c>
      <c r="F24" s="291">
        <f>'Topping Thickness'!K42</f>
        <v>12.709620000000001</v>
      </c>
      <c r="G24" s="74">
        <f>'Topping Thickness'!K47</f>
        <v>12.709620000000001</v>
      </c>
      <c r="H24" s="597">
        <f>'Topping Thickness'!K52</f>
        <v>12.729620000000001</v>
      </c>
      <c r="I24" s="23">
        <f>'Topping Thickness'!K57</f>
        <v>13.049620000000001</v>
      </c>
      <c r="J24" s="23">
        <f>'Topping Thickness'!K62</f>
        <v>13.494619999999999</v>
      </c>
      <c r="K24" s="91" t="s">
        <v>20</v>
      </c>
    </row>
    <row r="25" spans="1:14" x14ac:dyDescent="0.2">
      <c r="A25" s="44"/>
      <c r="B25" s="37"/>
      <c r="C25" s="99" t="s">
        <v>840</v>
      </c>
      <c r="D25" s="291">
        <v>54</v>
      </c>
      <c r="E25" s="605">
        <v>54</v>
      </c>
      <c r="F25" s="291">
        <v>54</v>
      </c>
      <c r="G25" s="74">
        <v>54</v>
      </c>
      <c r="H25" s="597">
        <v>54</v>
      </c>
      <c r="I25" s="23">
        <v>54</v>
      </c>
      <c r="J25" s="23">
        <v>54</v>
      </c>
      <c r="K25" s="91" t="s">
        <v>20</v>
      </c>
    </row>
    <row r="26" spans="1:14" ht="13.5" thickBot="1" x14ac:dyDescent="0.25">
      <c r="A26" s="44"/>
      <c r="B26" s="37"/>
      <c r="C26" s="99" t="s">
        <v>841</v>
      </c>
      <c r="D26" s="291">
        <f>C13</f>
        <v>13.25</v>
      </c>
      <c r="E26" s="605">
        <v>13.25</v>
      </c>
      <c r="F26" s="291">
        <f>C13</f>
        <v>13.25</v>
      </c>
      <c r="G26" s="291">
        <f>C13</f>
        <v>13.25</v>
      </c>
      <c r="H26" s="597">
        <f>C13</f>
        <v>13.25</v>
      </c>
      <c r="I26" s="24">
        <f>C13</f>
        <v>13.25</v>
      </c>
      <c r="J26" s="24">
        <f>C13</f>
        <v>13.25</v>
      </c>
      <c r="K26" s="91" t="s">
        <v>20</v>
      </c>
    </row>
    <row r="27" spans="1:14" ht="13.5" thickBot="1" x14ac:dyDescent="0.25">
      <c r="A27" s="44"/>
      <c r="B27" s="37"/>
      <c r="C27" s="606" t="s">
        <v>842</v>
      </c>
      <c r="D27" s="607">
        <f>SUM(D23:D26)</f>
        <v>82.624619999999993</v>
      </c>
      <c r="E27" s="607">
        <f t="shared" ref="E27:J27" si="0">SUM(E23:E26)</f>
        <v>82.539619999999999</v>
      </c>
      <c r="F27" s="607">
        <f t="shared" si="0"/>
        <v>82.359620000000007</v>
      </c>
      <c r="G27" s="607">
        <f t="shared" si="0"/>
        <v>82.359620000000007</v>
      </c>
      <c r="H27" s="607">
        <f t="shared" si="0"/>
        <v>82.399619999999999</v>
      </c>
      <c r="I27" s="607">
        <f t="shared" si="0"/>
        <v>83.039619999999999</v>
      </c>
      <c r="J27" s="607">
        <f t="shared" si="0"/>
        <v>83.744619999999998</v>
      </c>
      <c r="K27" s="91" t="s">
        <v>20</v>
      </c>
    </row>
    <row r="28" spans="1:14" ht="13.5" thickBot="1" x14ac:dyDescent="0.25">
      <c r="A28" s="44"/>
      <c r="B28" s="37"/>
      <c r="C28" s="608" t="s">
        <v>845</v>
      </c>
      <c r="D28" s="607">
        <f>D27/12</f>
        <v>6.8853849999999994</v>
      </c>
      <c r="E28" s="607">
        <f t="shared" ref="E28:J28" si="1">E27/12</f>
        <v>6.8783016666666663</v>
      </c>
      <c r="F28" s="607">
        <f t="shared" si="1"/>
        <v>6.8633016666666675</v>
      </c>
      <c r="G28" s="607">
        <f t="shared" si="1"/>
        <v>6.8633016666666675</v>
      </c>
      <c r="H28" s="607">
        <f t="shared" si="1"/>
        <v>6.8666349999999996</v>
      </c>
      <c r="I28" s="607">
        <f t="shared" si="1"/>
        <v>6.9199683333333333</v>
      </c>
      <c r="J28" s="607">
        <f t="shared" si="1"/>
        <v>6.9787183333333331</v>
      </c>
      <c r="K28" s="91" t="s">
        <v>19</v>
      </c>
    </row>
    <row r="29" spans="1:14" x14ac:dyDescent="0.2">
      <c r="A29" s="80"/>
      <c r="B29" s="80"/>
      <c r="C29" s="17"/>
      <c r="D29" s="32"/>
      <c r="F29" s="17"/>
      <c r="G29" s="17"/>
      <c r="H29" s="32"/>
      <c r="J29" s="80"/>
      <c r="K29" s="80"/>
    </row>
    <row r="30" spans="1:14" x14ac:dyDescent="0.2">
      <c r="A30" s="1" t="s">
        <v>94</v>
      </c>
    </row>
    <row r="31" spans="1:14" ht="13.5" thickBot="1" x14ac:dyDescent="0.25"/>
    <row r="32" spans="1:14" ht="13.5" thickTop="1" x14ac:dyDescent="0.2">
      <c r="A32" s="661" t="s">
        <v>8</v>
      </c>
      <c r="B32" s="29"/>
      <c r="C32" s="30" t="s">
        <v>5</v>
      </c>
      <c r="D32" s="30"/>
      <c r="E32" s="30"/>
      <c r="F32" s="664" t="s">
        <v>0</v>
      </c>
      <c r="G32" s="664"/>
      <c r="H32" s="30"/>
      <c r="I32" s="30"/>
      <c r="J32" s="30"/>
      <c r="K32" s="33"/>
    </row>
    <row r="33" spans="1:12" x14ac:dyDescent="0.2">
      <c r="A33" s="662"/>
      <c r="B33" s="2"/>
      <c r="C33" s="2"/>
      <c r="D33" s="2"/>
      <c r="E33" s="2"/>
      <c r="F33" s="2"/>
      <c r="G33" s="3"/>
      <c r="H33" s="3"/>
      <c r="I33" s="2"/>
      <c r="J33" s="2"/>
      <c r="K33" s="34"/>
    </row>
    <row r="34" spans="1:12" x14ac:dyDescent="0.2">
      <c r="A34" s="662"/>
      <c r="B34" s="4" t="s">
        <v>7</v>
      </c>
      <c r="C34" s="2"/>
      <c r="D34" s="2"/>
      <c r="E34" s="2"/>
      <c r="F34" s="2"/>
      <c r="G34" s="3"/>
      <c r="H34" s="3"/>
      <c r="I34" s="2"/>
      <c r="J34" s="2"/>
      <c r="K34" s="34"/>
    </row>
    <row r="35" spans="1:12" x14ac:dyDescent="0.2">
      <c r="A35" s="662"/>
      <c r="B35" s="2"/>
      <c r="C35" s="2"/>
      <c r="D35" s="2"/>
      <c r="E35" s="2"/>
      <c r="F35" s="2"/>
      <c r="G35" s="3"/>
      <c r="H35" s="3"/>
      <c r="I35" s="2"/>
      <c r="J35" s="2"/>
      <c r="K35" s="34"/>
    </row>
    <row r="36" spans="1:12" x14ac:dyDescent="0.2">
      <c r="A36" s="662"/>
      <c r="B36" s="2"/>
      <c r="C36" s="5" t="str">
        <f>IF(F32="Vertical Curve","PVI Sta. =","PVC Sta. =")</f>
        <v>PVI Sta. =</v>
      </c>
      <c r="D36" s="483">
        <v>17665</v>
      </c>
      <c r="E36" s="2"/>
      <c r="F36" s="5" t="str">
        <f>IF(F32="Vertical Curve"," ","PVT Sta. =")</f>
        <v xml:space="preserve"> </v>
      </c>
      <c r="G36" s="40"/>
      <c r="H36" s="2"/>
      <c r="I36" s="7"/>
      <c r="J36" s="8"/>
      <c r="K36" s="34"/>
      <c r="L36" s="488"/>
    </row>
    <row r="37" spans="1:12" x14ac:dyDescent="0.2">
      <c r="A37" s="662"/>
      <c r="B37" s="2"/>
      <c r="C37" s="5" t="str">
        <f>IF(F32="Vertical Curve","PVI Elev. =","PVC Elev. =")</f>
        <v>PVI Elev. =</v>
      </c>
      <c r="D37" s="484">
        <v>761.89</v>
      </c>
      <c r="E37" s="8"/>
      <c r="F37" s="5" t="str">
        <f>IF(F32="Vertical Curve"," ","PVT Elev. =")</f>
        <v xml:space="preserve"> </v>
      </c>
      <c r="G37" s="9"/>
      <c r="H37" s="2"/>
      <c r="I37" s="7"/>
      <c r="J37" s="8"/>
      <c r="K37" s="34"/>
      <c r="L37" s="488"/>
    </row>
    <row r="38" spans="1:12" x14ac:dyDescent="0.2">
      <c r="A38" s="662"/>
      <c r="B38" s="2"/>
      <c r="C38" s="5" t="str">
        <f>IF(F32="Vertical Curve","LVC ="," ")</f>
        <v>LVC =</v>
      </c>
      <c r="D38" s="485">
        <v>660</v>
      </c>
      <c r="E38" s="2"/>
      <c r="F38" s="2"/>
      <c r="G38" s="2"/>
      <c r="H38" s="2"/>
      <c r="I38" s="2"/>
      <c r="J38" s="2"/>
      <c r="K38" s="34"/>
      <c r="L38" s="488"/>
    </row>
    <row r="39" spans="1:12" x14ac:dyDescent="0.2">
      <c r="A39" s="662"/>
      <c r="B39" s="2"/>
      <c r="C39" s="5" t="str">
        <f>IF(F32="Vertical Curve","g1 ="," ")</f>
        <v>g1 =</v>
      </c>
      <c r="D39" s="486">
        <v>1.2798E-2</v>
      </c>
      <c r="E39" s="2"/>
      <c r="F39" s="2"/>
      <c r="G39" s="2"/>
      <c r="H39" s="2"/>
      <c r="I39" s="2"/>
      <c r="J39" s="2"/>
      <c r="K39" s="34"/>
      <c r="L39" s="488"/>
    </row>
    <row r="40" spans="1:12" x14ac:dyDescent="0.2">
      <c r="A40" s="662"/>
      <c r="B40" s="2"/>
      <c r="C40" s="5" t="str">
        <f>IF(F32="Vertical Curve","g2 ="," ")</f>
        <v>g2 =</v>
      </c>
      <c r="D40" s="486">
        <v>-0.03</v>
      </c>
      <c r="E40" s="2"/>
      <c r="F40" s="2"/>
      <c r="G40" s="2"/>
      <c r="H40" s="2"/>
      <c r="I40" s="2"/>
      <c r="J40" s="2"/>
      <c r="K40" s="34"/>
      <c r="L40" s="488"/>
    </row>
    <row r="41" spans="1:12" x14ac:dyDescent="0.2">
      <c r="A41" s="662"/>
      <c r="B41" s="2"/>
      <c r="C41" s="2"/>
      <c r="D41" s="2"/>
      <c r="E41" s="2"/>
      <c r="F41" s="2"/>
      <c r="G41" s="2"/>
      <c r="H41" s="2"/>
      <c r="I41" s="2"/>
      <c r="J41" s="2"/>
      <c r="K41" s="34"/>
      <c r="L41" s="488"/>
    </row>
    <row r="42" spans="1:12" x14ac:dyDescent="0.2">
      <c r="A42" s="662"/>
      <c r="B42" s="5" t="s">
        <v>9</v>
      </c>
      <c r="C42" s="26" t="str">
        <f>A32</f>
        <v>Segment 1</v>
      </c>
      <c r="D42" s="27" t="s">
        <v>10</v>
      </c>
      <c r="E42" s="28"/>
      <c r="F42" s="2"/>
      <c r="G42" s="2"/>
      <c r="H42" s="2"/>
      <c r="I42" s="2"/>
      <c r="J42" s="2"/>
      <c r="K42" s="34"/>
    </row>
    <row r="43" spans="1:12" x14ac:dyDescent="0.2">
      <c r="A43" s="662"/>
      <c r="B43" s="2"/>
      <c r="C43" s="2"/>
      <c r="D43" s="2"/>
      <c r="E43" s="2"/>
      <c r="F43" s="2"/>
      <c r="G43" s="2"/>
      <c r="H43" s="2"/>
      <c r="I43" s="2"/>
      <c r="J43" s="2"/>
      <c r="K43" s="34"/>
    </row>
    <row r="44" spans="1:12" x14ac:dyDescent="0.2">
      <c r="A44" s="662"/>
      <c r="B44" s="2"/>
      <c r="C44" s="10" t="s">
        <v>1</v>
      </c>
      <c r="D44" s="6">
        <f>IF(F32="Vertical Curve",D36-(D38/2),D36)</f>
        <v>17335</v>
      </c>
      <c r="E44" s="2"/>
      <c r="F44" s="10" t="s">
        <v>3</v>
      </c>
      <c r="G44" s="6">
        <f>IF(F32="Vertical Curve",D36+(D38/2),G36)</f>
        <v>17995</v>
      </c>
      <c r="H44" s="2"/>
      <c r="I44" s="10" t="str">
        <f>IF(F32="Vertical Curve","PVI Sta. ="," ")</f>
        <v>PVI Sta. =</v>
      </c>
      <c r="J44" s="11">
        <f>IF(F32="Vertical Curve",D36," ")</f>
        <v>17665</v>
      </c>
      <c r="K44" s="34"/>
    </row>
    <row r="45" spans="1:12" x14ac:dyDescent="0.2">
      <c r="A45" s="662"/>
      <c r="B45" s="2"/>
      <c r="C45" s="10" t="s">
        <v>2</v>
      </c>
      <c r="D45" s="12">
        <f>IF(F32="Vertical Curve",D37-D39*(D38/2),D37)</f>
        <v>757.66665999999998</v>
      </c>
      <c r="E45" s="2"/>
      <c r="F45" s="10" t="s">
        <v>4</v>
      </c>
      <c r="G45" s="12">
        <f>IF(F32="Vertical Curve",D37+D40*(D38/2),G37)</f>
        <v>751.99</v>
      </c>
      <c r="H45" s="2"/>
      <c r="I45" s="10" t="str">
        <f>IF(F32="Vertical Curve","PVI Elev. ="," ")</f>
        <v>PVI Elev. =</v>
      </c>
      <c r="J45" s="13">
        <f>IF(F32="Vertical Curve",D37," ")</f>
        <v>761.89</v>
      </c>
      <c r="K45" s="34"/>
    </row>
    <row r="46" spans="1:12" x14ac:dyDescent="0.2">
      <c r="A46" s="662"/>
      <c r="B46" s="2"/>
      <c r="C46" s="2"/>
      <c r="D46" s="2"/>
      <c r="E46" s="2"/>
      <c r="F46" s="2"/>
      <c r="G46" s="2"/>
      <c r="H46" s="2"/>
      <c r="I46" s="2"/>
      <c r="J46" s="2"/>
      <c r="K46" s="34"/>
    </row>
    <row r="47" spans="1:12" x14ac:dyDescent="0.2">
      <c r="A47" s="662"/>
      <c r="B47" s="2"/>
      <c r="C47" s="10" t="s">
        <v>6</v>
      </c>
      <c r="D47" s="14">
        <f>IF(D36=0," ",IF(F32="Vertical Curve",D39,(G45-D45)/(G44-D44)))</f>
        <v>1.2798E-2</v>
      </c>
      <c r="E47" s="2"/>
      <c r="F47" s="2"/>
      <c r="G47" s="10" t="str">
        <f>IF(F32="Vertical Curve","LVC =","Length of Tangent =")</f>
        <v>LVC =</v>
      </c>
      <c r="H47" s="12">
        <f>(G44-D44)</f>
        <v>660</v>
      </c>
      <c r="I47" s="2"/>
      <c r="J47" s="2"/>
      <c r="K47" s="34"/>
    </row>
    <row r="48" spans="1:12" ht="12.75" customHeight="1" x14ac:dyDescent="0.2">
      <c r="A48" s="662"/>
      <c r="B48" s="2"/>
      <c r="C48" s="10" t="str">
        <f>IF(F32="Vertical Curve","g2 ="," ")</f>
        <v>g2 =</v>
      </c>
      <c r="D48" s="14">
        <f>IF(F32="Vertical Curve",D40,0)</f>
        <v>-0.03</v>
      </c>
      <c r="E48" s="2"/>
      <c r="F48" s="2"/>
      <c r="G48" s="10" t="str">
        <f>IF(F32="Vertical Curve","Rate of Change of Grade, r ="," ")</f>
        <v>Rate of Change of Grade, r =</v>
      </c>
      <c r="H48" s="15">
        <f>IF(D36=0," ",IF(F32="Vertical Curve",(D48-D47)/(H47),0))</f>
        <v>-6.4845454545454546E-5</v>
      </c>
      <c r="I48" s="2"/>
      <c r="J48" s="2"/>
      <c r="K48" s="34"/>
    </row>
    <row r="49" spans="1:11" ht="13.5" customHeight="1" thickBot="1" x14ac:dyDescent="0.25">
      <c r="A49" s="663"/>
      <c r="B49" s="31"/>
      <c r="C49" s="31"/>
      <c r="D49" s="31"/>
      <c r="E49" s="31"/>
      <c r="F49" s="31"/>
      <c r="G49" s="31"/>
      <c r="H49" s="31"/>
      <c r="I49" s="31"/>
      <c r="J49" s="31"/>
      <c r="K49" s="35"/>
    </row>
    <row r="50" spans="1:11" ht="13.5" customHeight="1" thickTop="1" x14ac:dyDescent="0.2">
      <c r="A50" s="491"/>
      <c r="B50" s="2"/>
      <c r="C50" s="2"/>
      <c r="D50" s="2"/>
      <c r="E50" s="2"/>
      <c r="F50" s="2"/>
      <c r="G50" s="2"/>
      <c r="H50" s="2"/>
      <c r="I50" s="2"/>
      <c r="J50" s="2"/>
      <c r="K50" s="2"/>
    </row>
    <row r="52" spans="1:11" x14ac:dyDescent="0.2">
      <c r="A52" s="16" t="s">
        <v>83</v>
      </c>
      <c r="D52" s="2"/>
      <c r="E52" s="2"/>
      <c r="J52" s="2"/>
      <c r="K52" s="2"/>
    </row>
    <row r="53" spans="1:11" ht="13.5" customHeight="1" x14ac:dyDescent="0.2">
      <c r="A53" s="16"/>
      <c r="D53" s="2"/>
      <c r="E53" s="2"/>
      <c r="J53" s="2"/>
      <c r="K53" s="2"/>
    </row>
    <row r="54" spans="1:11" ht="12.75" customHeight="1" x14ac:dyDescent="0.2">
      <c r="B54" s="2"/>
      <c r="C54" s="2"/>
      <c r="E54" s="2"/>
      <c r="F54" s="62" t="s">
        <v>127</v>
      </c>
      <c r="K54" s="62" t="s">
        <v>126</v>
      </c>
    </row>
    <row r="55" spans="1:11" ht="12.75" customHeight="1" x14ac:dyDescent="0.2">
      <c r="B55" s="2"/>
      <c r="C55" s="2"/>
      <c r="E55" s="2"/>
      <c r="F55" s="57"/>
      <c r="K55" s="57"/>
    </row>
    <row r="56" spans="1:11" ht="79.900000000000006" customHeight="1" x14ac:dyDescent="0.2">
      <c r="B56" s="665" t="s">
        <v>82</v>
      </c>
      <c r="C56" s="666"/>
      <c r="D56" s="665" t="s">
        <v>41</v>
      </c>
      <c r="E56" s="666"/>
      <c r="F56" s="667" t="s">
        <v>90</v>
      </c>
      <c r="G56" s="668"/>
      <c r="H56" s="83" t="s">
        <v>42</v>
      </c>
      <c r="I56" s="669" t="s">
        <v>43</v>
      </c>
      <c r="J56" s="669"/>
      <c r="K56" s="2" t="s">
        <v>89</v>
      </c>
    </row>
    <row r="57" spans="1:11" ht="38.25" x14ac:dyDescent="0.2">
      <c r="B57" s="58" t="s">
        <v>27</v>
      </c>
      <c r="C57" s="58" t="s">
        <v>40</v>
      </c>
      <c r="D57" s="58" t="s">
        <v>27</v>
      </c>
      <c r="E57" s="58" t="s">
        <v>40</v>
      </c>
      <c r="F57" s="82" t="s">
        <v>85</v>
      </c>
      <c r="G57" s="81" t="s">
        <v>84</v>
      </c>
      <c r="H57" s="58" t="s">
        <v>40</v>
      </c>
      <c r="I57" s="669" t="s">
        <v>40</v>
      </c>
      <c r="J57" s="669"/>
    </row>
    <row r="58" spans="1:11" x14ac:dyDescent="0.2">
      <c r="A58" s="44"/>
      <c r="B58" s="59">
        <v>0</v>
      </c>
      <c r="C58" s="60">
        <f>1.5+2/12</f>
        <v>1.6666666666666667</v>
      </c>
      <c r="D58" s="59">
        <v>-0.04</v>
      </c>
      <c r="E58" s="60">
        <v>12</v>
      </c>
      <c r="F58" s="59">
        <v>0.04</v>
      </c>
      <c r="G58" s="53">
        <v>306917.87</v>
      </c>
      <c r="H58" s="60">
        <v>12</v>
      </c>
      <c r="I58" s="60">
        <v>2.0575999999999999</v>
      </c>
      <c r="J58" s="60" t="s">
        <v>109</v>
      </c>
    </row>
    <row r="59" spans="1:11" x14ac:dyDescent="0.2">
      <c r="A59" s="44"/>
      <c r="B59" s="37"/>
      <c r="C59" s="37"/>
      <c r="D59" s="37"/>
      <c r="E59" s="37"/>
      <c r="F59" s="59">
        <v>3.7999999999999999E-2</v>
      </c>
      <c r="G59" s="53">
        <v>306928.53999999998</v>
      </c>
      <c r="I59" s="60">
        <v>0</v>
      </c>
      <c r="J59" s="60" t="s">
        <v>110</v>
      </c>
    </row>
    <row r="60" spans="1:11" x14ac:dyDescent="0.2">
      <c r="A60" s="44"/>
      <c r="B60" s="37"/>
      <c r="C60" s="37"/>
      <c r="D60" s="37"/>
      <c r="E60" s="37"/>
      <c r="F60" s="59">
        <v>2.53E-2</v>
      </c>
      <c r="G60" s="53">
        <v>306996.26</v>
      </c>
    </row>
    <row r="61" spans="1:11" x14ac:dyDescent="0.2">
      <c r="A61" s="44"/>
      <c r="B61" s="57" t="s">
        <v>39</v>
      </c>
      <c r="C61" s="37"/>
      <c r="D61" s="37"/>
      <c r="E61" s="37"/>
      <c r="I61" s="2"/>
    </row>
    <row r="62" spans="1:11" x14ac:dyDescent="0.2">
      <c r="A62" s="44"/>
      <c r="B62" s="57"/>
      <c r="C62" s="37"/>
      <c r="D62" s="37"/>
      <c r="E62" s="37"/>
      <c r="I62" s="2"/>
    </row>
    <row r="63" spans="1:11" x14ac:dyDescent="0.2">
      <c r="A63" s="44"/>
      <c r="B63" s="84" t="s">
        <v>88</v>
      </c>
      <c r="C63" s="37"/>
      <c r="D63" s="37"/>
      <c r="E63" s="37"/>
      <c r="I63" s="2"/>
    </row>
    <row r="64" spans="1:11" ht="45" customHeight="1" x14ac:dyDescent="0.2">
      <c r="A64" s="44"/>
      <c r="B64" s="667" t="s">
        <v>91</v>
      </c>
      <c r="C64" s="668"/>
      <c r="D64" s="83" t="s">
        <v>92</v>
      </c>
      <c r="E64" s="88" t="s">
        <v>41</v>
      </c>
      <c r="F64" s="665" t="s">
        <v>93</v>
      </c>
      <c r="G64" s="666"/>
    </row>
    <row r="65" spans="1:9" ht="38.25" x14ac:dyDescent="0.2">
      <c r="A65" s="44"/>
      <c r="B65" s="82" t="s">
        <v>86</v>
      </c>
      <c r="C65" s="81" t="s">
        <v>87</v>
      </c>
      <c r="D65" s="58" t="s">
        <v>40</v>
      </c>
      <c r="E65" s="88" t="s">
        <v>40</v>
      </c>
      <c r="F65" s="58" t="s">
        <v>27</v>
      </c>
      <c r="G65" s="58" t="s">
        <v>40</v>
      </c>
    </row>
    <row r="66" spans="1:9" x14ac:dyDescent="0.2">
      <c r="A66" s="44"/>
      <c r="B66" s="59">
        <v>-3.7999999999999999E-2</v>
      </c>
      <c r="C66" s="53">
        <v>15905.58</v>
      </c>
      <c r="D66" s="85">
        <v>24</v>
      </c>
      <c r="E66" s="60">
        <v>12</v>
      </c>
      <c r="F66" s="59">
        <v>0</v>
      </c>
      <c r="G66" s="60">
        <f>1.5+2/12</f>
        <v>1.6666666666666667</v>
      </c>
    </row>
    <row r="67" spans="1:9" x14ac:dyDescent="0.2">
      <c r="A67" s="44"/>
      <c r="B67" s="59">
        <v>-3.7999999999999999E-2</v>
      </c>
      <c r="C67" s="53">
        <v>17633.169999999998</v>
      </c>
    </row>
    <row r="68" spans="1:9" x14ac:dyDescent="0.2">
      <c r="A68" s="44"/>
      <c r="B68" s="59">
        <v>-1.6E-2</v>
      </c>
      <c r="C68" s="53">
        <v>17750.5</v>
      </c>
      <c r="I68" s="2"/>
    </row>
    <row r="69" spans="1:9" x14ac:dyDescent="0.2">
      <c r="A69" s="44"/>
      <c r="B69" s="37"/>
      <c r="C69" s="37"/>
      <c r="D69" s="37"/>
      <c r="I69" s="2"/>
    </row>
    <row r="70" spans="1:9" x14ac:dyDescent="0.2">
      <c r="A70" s="44"/>
      <c r="B70" s="38" t="s">
        <v>113</v>
      </c>
      <c r="C70" s="89">
        <v>7</v>
      </c>
      <c r="D70" s="37"/>
      <c r="I70" s="2"/>
    </row>
    <row r="71" spans="1:9" x14ac:dyDescent="0.2">
      <c r="A71" s="44"/>
      <c r="B71" s="38" t="s">
        <v>114</v>
      </c>
      <c r="C71" s="487">
        <v>9.5</v>
      </c>
      <c r="D71" s="91" t="s">
        <v>19</v>
      </c>
      <c r="I71" s="2"/>
    </row>
    <row r="72" spans="1:9" x14ac:dyDescent="0.2">
      <c r="A72" s="44"/>
      <c r="B72" s="38" t="s">
        <v>115</v>
      </c>
      <c r="C72" s="90">
        <v>3.75</v>
      </c>
      <c r="D72" s="91" t="s">
        <v>121</v>
      </c>
      <c r="I72" s="2"/>
    </row>
    <row r="73" spans="1:9" x14ac:dyDescent="0.2">
      <c r="A73" s="44"/>
      <c r="B73" s="38" t="s">
        <v>117</v>
      </c>
      <c r="C73" s="90">
        <v>3.95</v>
      </c>
      <c r="D73" s="91" t="s">
        <v>122</v>
      </c>
      <c r="I73" s="2"/>
    </row>
    <row r="74" spans="1:9" x14ac:dyDescent="0.2">
      <c r="A74" s="44"/>
      <c r="B74" s="38" t="s">
        <v>116</v>
      </c>
      <c r="C74" s="90">
        <v>2.625</v>
      </c>
      <c r="D74" s="91" t="s">
        <v>123</v>
      </c>
      <c r="I74" s="2"/>
    </row>
    <row r="75" spans="1:9" x14ac:dyDescent="0.2">
      <c r="A75" s="44"/>
      <c r="B75" s="38" t="s">
        <v>111</v>
      </c>
      <c r="C75" s="410">
        <f>C72+((C70-1)*C71)+C73</f>
        <v>64.7</v>
      </c>
      <c r="D75" s="91" t="s">
        <v>119</v>
      </c>
      <c r="E75" s="39"/>
      <c r="I75" s="2"/>
    </row>
    <row r="76" spans="1:9" x14ac:dyDescent="0.2">
      <c r="A76" s="44"/>
      <c r="B76" s="38" t="s">
        <v>112</v>
      </c>
      <c r="C76" s="410">
        <f>C72+((C70-1)*C71)+C74</f>
        <v>63.375</v>
      </c>
      <c r="D76" s="92" t="s">
        <v>120</v>
      </c>
      <c r="E76" s="39"/>
      <c r="I76" s="2"/>
    </row>
    <row r="77" spans="1:9" x14ac:dyDescent="0.2">
      <c r="A77" s="44"/>
      <c r="B77" s="38" t="s">
        <v>111</v>
      </c>
      <c r="C77" s="410">
        <f>SUM(C58,E58,H58,I58,D66,E66,G66)</f>
        <v>65.390933333333336</v>
      </c>
      <c r="D77" s="91" t="s">
        <v>119</v>
      </c>
      <c r="E77" s="39" t="s">
        <v>118</v>
      </c>
      <c r="I77" s="2"/>
    </row>
    <row r="78" spans="1:9" x14ac:dyDescent="0.2">
      <c r="A78" s="44"/>
      <c r="B78" s="38" t="s">
        <v>112</v>
      </c>
      <c r="C78" s="410">
        <f>SUM(C58,E58,H58,I59,D66,E66,G66)</f>
        <v>63.333333333333329</v>
      </c>
      <c r="D78" s="92" t="s">
        <v>120</v>
      </c>
      <c r="E78" s="39" t="s">
        <v>118</v>
      </c>
      <c r="I78" s="2"/>
    </row>
    <row r="79" spans="1:9" x14ac:dyDescent="0.2">
      <c r="A79" s="44"/>
      <c r="B79" s="37"/>
      <c r="C79" s="37"/>
      <c r="D79" s="37"/>
      <c r="I79" s="2"/>
    </row>
    <row r="80" spans="1:9" x14ac:dyDescent="0.2">
      <c r="A80" s="44"/>
      <c r="B80" s="37"/>
      <c r="C80" s="37"/>
      <c r="D80" s="37"/>
      <c r="I80" s="2"/>
    </row>
    <row r="81" spans="1:11" x14ac:dyDescent="0.2">
      <c r="A81" s="16" t="s">
        <v>96</v>
      </c>
      <c r="D81" s="2"/>
      <c r="E81" s="2"/>
      <c r="J81" s="2"/>
      <c r="K81" s="2"/>
    </row>
    <row r="82" spans="1:11" x14ac:dyDescent="0.2">
      <c r="A82" s="16"/>
      <c r="D82" s="2"/>
      <c r="E82" s="2"/>
    </row>
    <row r="83" spans="1:11" ht="12.75" customHeight="1" x14ac:dyDescent="0.2">
      <c r="B83" s="38" t="s">
        <v>97</v>
      </c>
      <c r="C83" s="87">
        <v>16789.88</v>
      </c>
      <c r="E83" s="489"/>
    </row>
    <row r="84" spans="1:11" ht="12.75" customHeight="1" x14ac:dyDescent="0.2">
      <c r="B84" s="38" t="s">
        <v>103</v>
      </c>
      <c r="C84" s="87">
        <v>15837.85</v>
      </c>
      <c r="E84" s="2"/>
    </row>
    <row r="85" spans="1:11" ht="12.75" customHeight="1" x14ac:dyDescent="0.2">
      <c r="B85" s="38" t="s">
        <v>104</v>
      </c>
      <c r="C85" s="87">
        <v>17700.900000000001</v>
      </c>
      <c r="E85" s="2"/>
    </row>
    <row r="86" spans="1:11" ht="12.75" customHeight="1" x14ac:dyDescent="0.2">
      <c r="B86" s="93" t="s">
        <v>125</v>
      </c>
      <c r="C86" s="87">
        <v>306991.76</v>
      </c>
      <c r="E86" s="2"/>
    </row>
    <row r="87" spans="1:11" x14ac:dyDescent="0.2">
      <c r="B87" s="38" t="s">
        <v>101</v>
      </c>
      <c r="C87" s="52">
        <v>1863.0482</v>
      </c>
      <c r="D87" s="39" t="s">
        <v>19</v>
      </c>
    </row>
    <row r="88" spans="1:11" x14ac:dyDescent="0.2">
      <c r="A88" s="44"/>
      <c r="B88" s="38" t="s">
        <v>102</v>
      </c>
      <c r="C88" s="52">
        <v>3672.8063999999999</v>
      </c>
      <c r="D88" s="39" t="s">
        <v>19</v>
      </c>
    </row>
    <row r="89" spans="1:11" x14ac:dyDescent="0.2">
      <c r="A89" s="44"/>
      <c r="B89" s="38" t="s">
        <v>105</v>
      </c>
      <c r="C89" s="52">
        <v>1843.1383000000001</v>
      </c>
    </row>
    <row r="90" spans="1:11" x14ac:dyDescent="0.2">
      <c r="A90" s="44"/>
      <c r="B90" s="38" t="s">
        <v>106</v>
      </c>
      <c r="C90" s="52">
        <v>117.49809999999999</v>
      </c>
    </row>
    <row r="91" spans="1:11" x14ac:dyDescent="0.2">
      <c r="A91" s="44"/>
      <c r="B91" s="38" t="s">
        <v>107</v>
      </c>
      <c r="C91" s="52">
        <v>121.3813</v>
      </c>
    </row>
    <row r="92" spans="1:11" x14ac:dyDescent="0.2">
      <c r="A92" s="44"/>
      <c r="B92" s="38" t="s">
        <v>108</v>
      </c>
      <c r="C92" s="52">
        <v>952.0258</v>
      </c>
    </row>
    <row r="93" spans="1:11" x14ac:dyDescent="0.2">
      <c r="A93" s="44"/>
      <c r="B93" s="37"/>
      <c r="C93" s="37"/>
      <c r="D93" s="37"/>
      <c r="E93" s="37"/>
      <c r="F93" s="61"/>
      <c r="G93" s="61"/>
      <c r="H93" s="2"/>
      <c r="I93" s="2"/>
    </row>
    <row r="94" spans="1:11" ht="12.75" customHeight="1" x14ac:dyDescent="0.2">
      <c r="B94" s="86" t="s">
        <v>99</v>
      </c>
      <c r="C94" s="45" t="s">
        <v>26</v>
      </c>
      <c r="D94" s="46">
        <v>29</v>
      </c>
      <c r="E94" s="47">
        <v>3</v>
      </c>
      <c r="F94" s="450">
        <v>48.79</v>
      </c>
      <c r="G94" s="49"/>
    </row>
    <row r="95" spans="1:11" x14ac:dyDescent="0.2">
      <c r="B95" s="86" t="s">
        <v>100</v>
      </c>
      <c r="C95" s="10" t="str">
        <f>IF(C94="No Skew"," ",C94)</f>
        <v>LF</v>
      </c>
      <c r="D95" s="50">
        <f>IF(C95="No Skew",0,IF(C95="LF",(((F94/60)+E94)/60)+D94,IF(C95="RF",((F94/60)+E94)/60)+D94))</f>
        <v>29.063552777777776</v>
      </c>
      <c r="E95" s="49" t="s">
        <v>23</v>
      </c>
      <c r="F95" s="51">
        <f>D95*PI()/180</f>
        <v>0.50725468829936604</v>
      </c>
      <c r="G95" s="49" t="s">
        <v>24</v>
      </c>
    </row>
    <row r="96" spans="1:11" x14ac:dyDescent="0.2">
      <c r="A96" s="44"/>
      <c r="B96" s="37"/>
      <c r="C96" s="37"/>
      <c r="D96" s="37"/>
      <c r="E96" s="37"/>
      <c r="F96" s="61"/>
      <c r="G96" s="61"/>
      <c r="H96" s="2"/>
      <c r="I96" s="2"/>
    </row>
    <row r="97" spans="1:9" x14ac:dyDescent="0.2">
      <c r="A97" s="16" t="s">
        <v>44</v>
      </c>
      <c r="B97" s="2"/>
      <c r="C97" s="61"/>
      <c r="D97" s="2"/>
      <c r="E97" s="61"/>
      <c r="F97" s="61"/>
      <c r="G97" s="2"/>
      <c r="H97" s="2"/>
      <c r="I97" s="2"/>
    </row>
    <row r="98" spans="1:9" x14ac:dyDescent="0.2">
      <c r="A98" s="16"/>
      <c r="B98" s="2"/>
      <c r="C98" s="61"/>
      <c r="D98" s="2"/>
      <c r="E98" s="61"/>
      <c r="F98" s="61"/>
      <c r="G98" s="2"/>
      <c r="H98" s="2"/>
      <c r="I98" s="2"/>
    </row>
    <row r="99" spans="1:9" x14ac:dyDescent="0.2">
      <c r="A99" s="44" t="s">
        <v>98</v>
      </c>
      <c r="B99" s="2"/>
      <c r="C99" s="61"/>
      <c r="D99" s="2"/>
      <c r="E99" s="61"/>
      <c r="F99" s="61"/>
      <c r="G99" s="2"/>
      <c r="H99" s="2"/>
      <c r="I99" s="2"/>
    </row>
    <row r="100" spans="1:9" x14ac:dyDescent="0.2">
      <c r="A100" s="44" t="s">
        <v>45</v>
      </c>
      <c r="B100" s="2"/>
      <c r="C100" s="654" t="s">
        <v>46</v>
      </c>
      <c r="D100" s="655"/>
      <c r="E100" s="61"/>
      <c r="F100" s="61"/>
      <c r="G100" s="2"/>
      <c r="H100" s="2"/>
      <c r="I100" s="2"/>
    </row>
    <row r="101" spans="1:9" x14ac:dyDescent="0.2">
      <c r="A101" s="44"/>
      <c r="B101" s="2"/>
      <c r="C101" s="63"/>
      <c r="D101" s="2"/>
      <c r="E101" s="61"/>
      <c r="F101" s="61"/>
      <c r="G101" s="2"/>
      <c r="H101" s="2"/>
      <c r="I101" s="2"/>
    </row>
    <row r="102" spans="1:9" x14ac:dyDescent="0.2">
      <c r="A102" s="44"/>
      <c r="B102" s="2"/>
      <c r="C102" s="7" t="s">
        <v>47</v>
      </c>
      <c r="D102" s="455">
        <v>17591.330000000002</v>
      </c>
      <c r="E102" s="2"/>
      <c r="F102" s="61"/>
      <c r="G102" s="61"/>
      <c r="H102" s="2"/>
      <c r="I102" s="2"/>
    </row>
    <row r="103" spans="1:9" x14ac:dyDescent="0.2">
      <c r="A103" s="44"/>
      <c r="B103" s="2"/>
      <c r="D103" s="61"/>
      <c r="E103" s="2"/>
      <c r="F103" s="61"/>
      <c r="G103" s="61"/>
      <c r="H103" s="2"/>
      <c r="I103" s="2"/>
    </row>
    <row r="104" spans="1:9" x14ac:dyDescent="0.2">
      <c r="A104" s="44"/>
      <c r="B104" s="2"/>
      <c r="C104" s="10" t="s">
        <v>21</v>
      </c>
      <c r="D104" s="45" t="s">
        <v>124</v>
      </c>
      <c r="E104" s="457">
        <v>16</v>
      </c>
      <c r="F104" s="458">
        <v>11</v>
      </c>
      <c r="G104" s="459">
        <v>22</v>
      </c>
      <c r="H104" s="49"/>
      <c r="I104" s="2"/>
    </row>
    <row r="105" spans="1:9" x14ac:dyDescent="0.2">
      <c r="A105" s="44"/>
      <c r="B105" s="2"/>
      <c r="C105" s="10" t="s">
        <v>22</v>
      </c>
      <c r="D105" s="10" t="str">
        <f>IF(D104="No Skew"," ",D104)</f>
        <v>RF</v>
      </c>
      <c r="E105" s="460">
        <f>IF(D105="No Skew",0,IF(D105="LF",(((G104/60)+F104)/60)+E104,IF(D105="RF",((G104/60)+F104)/60)+E104))</f>
        <v>16.189444444444444</v>
      </c>
      <c r="F105" s="44" t="s">
        <v>23</v>
      </c>
      <c r="G105" s="461">
        <f>E105*PI()/180</f>
        <v>0.28255910962425979</v>
      </c>
      <c r="H105" s="49" t="s">
        <v>24</v>
      </c>
      <c r="I105" s="2"/>
    </row>
    <row r="106" spans="1:9" x14ac:dyDescent="0.2">
      <c r="A106" s="44"/>
      <c r="B106" s="2"/>
      <c r="C106" s="61"/>
      <c r="D106" s="2"/>
      <c r="E106" s="69"/>
      <c r="F106" s="69"/>
      <c r="G106" s="313"/>
      <c r="H106" s="2"/>
      <c r="I106" s="2"/>
    </row>
    <row r="107" spans="1:9" x14ac:dyDescent="0.2">
      <c r="A107" s="44" t="s">
        <v>45</v>
      </c>
      <c r="B107" s="2"/>
      <c r="C107" s="654" t="s">
        <v>48</v>
      </c>
      <c r="D107" s="655"/>
      <c r="E107" s="69"/>
      <c r="F107" s="69"/>
      <c r="G107" s="313"/>
      <c r="H107" s="2"/>
      <c r="I107" s="2"/>
    </row>
    <row r="108" spans="1:9" x14ac:dyDescent="0.2">
      <c r="A108" s="44"/>
      <c r="B108" s="2"/>
      <c r="C108" s="63"/>
      <c r="D108" s="2"/>
      <c r="E108" s="69"/>
      <c r="F108" s="69"/>
      <c r="G108" s="313"/>
      <c r="H108" s="2"/>
      <c r="I108" s="2"/>
    </row>
    <row r="109" spans="1:9" x14ac:dyDescent="0.2">
      <c r="A109" s="44"/>
      <c r="B109" s="2"/>
      <c r="C109" s="7" t="s">
        <v>47</v>
      </c>
      <c r="D109" s="455">
        <v>17681.05</v>
      </c>
      <c r="E109" s="313"/>
      <c r="F109" s="69"/>
      <c r="G109" s="69"/>
      <c r="H109" s="2"/>
      <c r="I109" s="2"/>
    </row>
    <row r="110" spans="1:9" x14ac:dyDescent="0.2">
      <c r="A110" s="44"/>
      <c r="B110" s="2"/>
      <c r="C110" s="61"/>
      <c r="D110" s="61"/>
      <c r="E110" s="313"/>
      <c r="F110" s="69"/>
      <c r="G110" s="69"/>
      <c r="H110" s="2"/>
      <c r="I110" s="2"/>
    </row>
    <row r="111" spans="1:9" x14ac:dyDescent="0.2">
      <c r="A111" s="44"/>
      <c r="B111" s="2"/>
      <c r="C111" s="10" t="s">
        <v>21</v>
      </c>
      <c r="D111" s="45" t="s">
        <v>124</v>
      </c>
      <c r="E111" s="457">
        <v>17</v>
      </c>
      <c r="F111" s="458">
        <v>35</v>
      </c>
      <c r="G111" s="459">
        <v>21</v>
      </c>
      <c r="H111" s="49"/>
      <c r="I111" s="2"/>
    </row>
    <row r="112" spans="1:9" x14ac:dyDescent="0.2">
      <c r="A112" s="44"/>
      <c r="B112" s="2"/>
      <c r="C112" s="10" t="s">
        <v>22</v>
      </c>
      <c r="D112" s="10" t="str">
        <f>IF(D111="No Skew"," ",D111)</f>
        <v>RF</v>
      </c>
      <c r="E112" s="50">
        <f>IF(D112="No Skew",0,IF(D112="LF",(((G111/60)+F111)/60)+E111,IF(D112="RF",((G111/60)+F111)/60)+E111))</f>
        <v>17.589166666666667</v>
      </c>
      <c r="F112" s="49" t="s">
        <v>23</v>
      </c>
      <c r="G112" s="51">
        <f>E112*PI()/180</f>
        <v>0.30698887101536926</v>
      </c>
      <c r="H112" s="49" t="s">
        <v>24</v>
      </c>
      <c r="I112" s="2"/>
    </row>
    <row r="113" spans="1:9" x14ac:dyDescent="0.2">
      <c r="A113" s="44"/>
      <c r="B113" s="37"/>
      <c r="C113" s="37"/>
      <c r="D113" s="37"/>
      <c r="E113" s="37"/>
      <c r="F113" s="61"/>
      <c r="G113" s="61"/>
      <c r="H113" s="2"/>
      <c r="I113" s="2"/>
    </row>
    <row r="114" spans="1:9" x14ac:dyDescent="0.2">
      <c r="A114" s="44" t="s">
        <v>95</v>
      </c>
      <c r="B114" s="2"/>
      <c r="C114" s="61"/>
      <c r="D114" s="2"/>
      <c r="E114" s="61"/>
      <c r="F114" s="61"/>
      <c r="G114" s="2"/>
      <c r="H114" s="2"/>
      <c r="I114" s="2"/>
    </row>
    <row r="115" spans="1:9" x14ac:dyDescent="0.2">
      <c r="A115" s="44" t="s">
        <v>45</v>
      </c>
      <c r="B115" s="2"/>
      <c r="C115" s="654" t="s">
        <v>46</v>
      </c>
      <c r="D115" s="655"/>
      <c r="E115" s="61"/>
      <c r="F115" s="61"/>
      <c r="G115" s="2"/>
      <c r="H115" s="2"/>
      <c r="I115" s="2"/>
    </row>
    <row r="116" spans="1:9" x14ac:dyDescent="0.2">
      <c r="A116" s="44"/>
      <c r="B116" s="2"/>
      <c r="C116" s="63"/>
      <c r="D116" s="2"/>
      <c r="E116" s="61"/>
      <c r="F116" s="61"/>
      <c r="G116" s="2"/>
      <c r="H116" s="2"/>
      <c r="I116" s="2"/>
    </row>
    <row r="117" spans="1:9" x14ac:dyDescent="0.2">
      <c r="A117" s="44"/>
      <c r="B117" s="2"/>
      <c r="C117" s="7" t="s">
        <v>47</v>
      </c>
      <c r="D117" s="456">
        <v>306877.74</v>
      </c>
      <c r="E117" s="2"/>
      <c r="F117" s="61"/>
      <c r="G117" s="61"/>
      <c r="H117" s="2"/>
      <c r="I117" s="2"/>
    </row>
    <row r="118" spans="1:9" x14ac:dyDescent="0.2">
      <c r="A118" s="44"/>
      <c r="B118" s="2"/>
      <c r="D118" s="61"/>
      <c r="E118" s="2"/>
      <c r="F118" s="61"/>
      <c r="G118" s="61"/>
      <c r="H118" s="2"/>
      <c r="I118" s="2"/>
    </row>
    <row r="119" spans="1:9" x14ac:dyDescent="0.2">
      <c r="A119" s="44"/>
      <c r="B119" s="2"/>
      <c r="C119" s="10" t="s">
        <v>21</v>
      </c>
      <c r="D119" s="45" t="s">
        <v>124</v>
      </c>
      <c r="E119" s="46">
        <v>17</v>
      </c>
      <c r="F119" s="47">
        <v>58</v>
      </c>
      <c r="G119" s="48">
        <v>9</v>
      </c>
      <c r="H119" s="49"/>
    </row>
    <row r="120" spans="1:9" x14ac:dyDescent="0.2">
      <c r="A120" s="44"/>
      <c r="B120" s="2"/>
      <c r="C120" s="10" t="s">
        <v>22</v>
      </c>
      <c r="D120" s="10" t="str">
        <f>IF(D119="No Skew"," ",D119)</f>
        <v>RF</v>
      </c>
      <c r="E120" s="50">
        <f>IF(D120="No Skew",0,IF(D120="LF",(((G119/60)+F119)/60)+E119,IF(D120="RF",((G119/60)+F119)/60)+E119))</f>
        <v>17.969166666666666</v>
      </c>
      <c r="F120" s="49" t="s">
        <v>23</v>
      </c>
      <c r="G120" s="51">
        <f>E120*PI()/180</f>
        <v>0.31362112217294769</v>
      </c>
      <c r="H120" s="49" t="s">
        <v>24</v>
      </c>
    </row>
    <row r="121" spans="1:9" x14ac:dyDescent="0.2">
      <c r="A121" s="44"/>
      <c r="B121" s="2"/>
      <c r="C121" s="61"/>
      <c r="D121" s="2"/>
      <c r="E121" s="61"/>
      <c r="F121" s="61"/>
      <c r="G121" s="2"/>
      <c r="H121" s="2"/>
    </row>
    <row r="122" spans="1:9" x14ac:dyDescent="0.2">
      <c r="A122" s="44" t="s">
        <v>45</v>
      </c>
      <c r="B122" s="2"/>
      <c r="C122" s="654" t="s">
        <v>48</v>
      </c>
      <c r="D122" s="655"/>
      <c r="E122" s="61"/>
      <c r="F122" s="61"/>
      <c r="G122" s="2"/>
      <c r="H122" s="2"/>
    </row>
    <row r="123" spans="1:9" x14ac:dyDescent="0.2">
      <c r="A123" s="44"/>
      <c r="B123" s="2"/>
      <c r="C123" s="63"/>
      <c r="D123" s="2"/>
      <c r="E123" s="61"/>
      <c r="F123" s="61"/>
      <c r="G123" s="2"/>
      <c r="H123" s="2"/>
    </row>
    <row r="124" spans="1:9" x14ac:dyDescent="0.2">
      <c r="A124" s="44"/>
      <c r="B124" s="2"/>
      <c r="C124" s="7" t="s">
        <v>47</v>
      </c>
      <c r="D124" s="456">
        <v>306967.99</v>
      </c>
      <c r="E124" s="2"/>
      <c r="F124" s="61"/>
      <c r="G124" s="61"/>
      <c r="H124" s="2"/>
    </row>
    <row r="125" spans="1:9" x14ac:dyDescent="0.2">
      <c r="A125" s="44"/>
      <c r="B125" s="2"/>
      <c r="C125" s="61"/>
      <c r="D125" s="61"/>
      <c r="E125" s="2"/>
      <c r="F125" s="61"/>
      <c r="G125" s="61"/>
      <c r="H125" s="2"/>
    </row>
    <row r="126" spans="1:9" x14ac:dyDescent="0.2">
      <c r="A126" s="44"/>
      <c r="B126" s="2"/>
      <c r="C126" s="10" t="s">
        <v>21</v>
      </c>
      <c r="D126" s="45" t="s">
        <v>124</v>
      </c>
      <c r="E126" s="46">
        <v>17</v>
      </c>
      <c r="F126" s="47">
        <v>58</v>
      </c>
      <c r="G126" s="48">
        <v>9</v>
      </c>
      <c r="H126" s="49"/>
    </row>
    <row r="127" spans="1:9" x14ac:dyDescent="0.2">
      <c r="A127" s="44"/>
      <c r="B127" s="2"/>
      <c r="C127" s="10" t="s">
        <v>22</v>
      </c>
      <c r="D127" s="10" t="str">
        <f>IF(D126="No Skew"," ",D126)</f>
        <v>RF</v>
      </c>
      <c r="E127" s="50">
        <f>IF(D127="No Skew",0,IF(D127="LF",(((G126/60)+F126)/60)+E126,IF(D127="RF",((G126/60)+F126)/60)+E126))</f>
        <v>17.969166666666666</v>
      </c>
      <c r="F127" s="49" t="s">
        <v>23</v>
      </c>
      <c r="G127" s="51">
        <f>E127*PI()/180</f>
        <v>0.31362112217294769</v>
      </c>
      <c r="H127" s="49" t="s">
        <v>24</v>
      </c>
    </row>
    <row r="128" spans="1:9" x14ac:dyDescent="0.2">
      <c r="A128" s="44"/>
      <c r="B128" s="37"/>
      <c r="C128" s="37"/>
      <c r="D128" s="37"/>
      <c r="E128" s="37"/>
      <c r="F128" s="61"/>
      <c r="G128" s="61"/>
      <c r="H128" s="2"/>
    </row>
    <row r="129" spans="1:14" x14ac:dyDescent="0.2">
      <c r="A129" s="44"/>
      <c r="B129" s="37"/>
      <c r="C129" s="37"/>
      <c r="D129" s="37"/>
      <c r="E129" s="37"/>
      <c r="F129" s="61"/>
      <c r="H129" s="54"/>
      <c r="I129" s="2"/>
      <c r="J129" s="64"/>
      <c r="K129" s="23"/>
    </row>
    <row r="130" spans="1:14" x14ac:dyDescent="0.2">
      <c r="A130" s="16" t="s">
        <v>723</v>
      </c>
      <c r="B130" s="37"/>
      <c r="C130" s="37"/>
      <c r="D130" s="37"/>
      <c r="E130" s="37"/>
      <c r="F130" s="16" t="s">
        <v>724</v>
      </c>
      <c r="G130" s="37"/>
      <c r="H130" s="37"/>
      <c r="I130" s="37"/>
      <c r="J130" s="64"/>
      <c r="K130" s="16" t="s">
        <v>725</v>
      </c>
      <c r="L130" s="37"/>
      <c r="M130" s="37"/>
      <c r="N130" s="37"/>
    </row>
    <row r="131" spans="1:14" x14ac:dyDescent="0.2">
      <c r="A131" s="37" t="s">
        <v>722</v>
      </c>
      <c r="B131" s="39" t="s">
        <v>11</v>
      </c>
      <c r="C131" s="44" t="s">
        <v>721</v>
      </c>
      <c r="D131" s="39" t="s">
        <v>722</v>
      </c>
      <c r="F131" s="37" t="s">
        <v>722</v>
      </c>
      <c r="G131" s="39" t="s">
        <v>11</v>
      </c>
      <c r="H131" s="44" t="s">
        <v>721</v>
      </c>
      <c r="I131" s="39" t="s">
        <v>722</v>
      </c>
      <c r="J131" s="64"/>
      <c r="K131" s="37" t="s">
        <v>722</v>
      </c>
      <c r="L131" s="39" t="s">
        <v>11</v>
      </c>
      <c r="M131" s="44" t="s">
        <v>721</v>
      </c>
      <c r="N131" s="39" t="s">
        <v>722</v>
      </c>
    </row>
    <row r="132" spans="1:14" x14ac:dyDescent="0.2">
      <c r="A132" s="496">
        <v>0.04</v>
      </c>
      <c r="B132" s="497">
        <v>17627.02</v>
      </c>
      <c r="C132" s="495">
        <v>17627.59</v>
      </c>
      <c r="D132">
        <f t="shared" ref="D132:D137" si="2">$A$132-(((C132-$B$132)/($B$137-$B$132))*($A$132-$A$137))</f>
        <v>3.9893158388003787E-2</v>
      </c>
      <c r="F132" s="496">
        <v>3.7999999999999999E-2</v>
      </c>
      <c r="G132" s="497">
        <v>17633.169999999998</v>
      </c>
      <c r="H132" s="495">
        <v>17634.96</v>
      </c>
      <c r="I132">
        <f t="shared" ref="I132:I162" si="3">$F$132-(((H132-$G$132)/($G$162-$G$132))*($F$132-$F$162))</f>
        <v>3.7664365464927824E-2</v>
      </c>
      <c r="J132" s="64"/>
      <c r="K132" s="496">
        <v>3.7999999999999999E-2</v>
      </c>
      <c r="L132" s="497">
        <v>17637.689999999999</v>
      </c>
      <c r="M132" s="495">
        <v>17675.16</v>
      </c>
      <c r="N132">
        <f>$K$132-(((M132-$L$132)/($L$136-$L$132))*($K$132-$K$136))</f>
        <v>3.0971953921134318E-2</v>
      </c>
    </row>
    <row r="133" spans="1:14" x14ac:dyDescent="0.2">
      <c r="A133" s="494"/>
      <c r="B133" s="493"/>
      <c r="C133" s="495">
        <v>17628.13</v>
      </c>
      <c r="D133">
        <f t="shared" si="2"/>
        <v>3.9791940018743997E-2</v>
      </c>
      <c r="H133" s="495">
        <v>17637.919999999998</v>
      </c>
      <c r="I133">
        <f t="shared" si="3"/>
        <v>3.7109349697434596E-2</v>
      </c>
      <c r="J133" s="64"/>
      <c r="K133" s="494"/>
      <c r="L133" s="493"/>
      <c r="M133" s="495">
        <v>17675.14</v>
      </c>
      <c r="N133">
        <f>$K$132-(((M133-$L$132)/($L$136-$L$132))*($K$132-$K$136))</f>
        <v>3.0975705213410282E-2</v>
      </c>
    </row>
    <row r="134" spans="1:14" x14ac:dyDescent="0.2">
      <c r="A134" s="494"/>
      <c r="B134" s="493"/>
      <c r="C134" s="495">
        <v>17628.8</v>
      </c>
      <c r="D134">
        <f t="shared" si="2"/>
        <v>3.9666354264292575E-2</v>
      </c>
      <c r="F134" s="494"/>
      <c r="G134" s="493"/>
      <c r="H134" s="495">
        <v>17640.84</v>
      </c>
      <c r="I134">
        <f>$F$132-(((H134-$G$132)/($G$162-$G$132))*($F$132-$F$162))</f>
        <v>3.6561834143015094E-2</v>
      </c>
      <c r="J134" s="64"/>
      <c r="K134" s="494"/>
      <c r="L134" s="493"/>
      <c r="M134" s="495">
        <v>17678.919999999998</v>
      </c>
      <c r="N134">
        <f>$K$132-(((M134-$L$132)/($L$136-$L$132))*($K$132-$K$136))</f>
        <v>3.0266710973268746E-2</v>
      </c>
    </row>
    <row r="135" spans="1:14" x14ac:dyDescent="0.2">
      <c r="C135" s="495">
        <v>17631.88</v>
      </c>
      <c r="D135">
        <f t="shared" si="2"/>
        <v>3.9089034676663283E-2</v>
      </c>
      <c r="F135" s="494"/>
      <c r="G135" s="493"/>
      <c r="H135" s="495">
        <v>17643.77</v>
      </c>
      <c r="I135">
        <f t="shared" si="3"/>
        <v>3.6012443535327329E-2</v>
      </c>
      <c r="J135" s="64"/>
      <c r="K135" s="494"/>
      <c r="L135" s="493"/>
      <c r="M135" s="495">
        <v>17705</v>
      </c>
      <c r="N135">
        <f>$K$132-(((M135-$L$132)/($L$136-$L$132))*($K$132-$K$136))</f>
        <v>2.5375025845517919E-2</v>
      </c>
    </row>
    <row r="136" spans="1:14" x14ac:dyDescent="0.2">
      <c r="C136" s="495">
        <v>17632.02</v>
      </c>
      <c r="D136">
        <f t="shared" si="2"/>
        <v>3.9062792877225715E-2</v>
      </c>
      <c r="F136" s="494"/>
      <c r="G136" s="493"/>
      <c r="H136" s="495">
        <v>17646.72</v>
      </c>
      <c r="I136">
        <f t="shared" si="3"/>
        <v>3.5459302821102365E-2</v>
      </c>
      <c r="J136" s="64"/>
      <c r="K136" s="496">
        <v>2.53E-2</v>
      </c>
      <c r="L136" s="497">
        <v>17705.400000000001</v>
      </c>
      <c r="M136" s="495">
        <v>17705</v>
      </c>
      <c r="N136">
        <f>$K$132-(((M136-$L$132)/($L$136-$L$132))*($K$132-$K$136))</f>
        <v>2.5375025845517919E-2</v>
      </c>
    </row>
    <row r="137" spans="1:14" x14ac:dyDescent="0.2">
      <c r="A137" s="496">
        <v>3.7999999999999999E-2</v>
      </c>
      <c r="B137" s="497">
        <v>17637.689999999999</v>
      </c>
      <c r="C137" s="495">
        <v>17634.96</v>
      </c>
      <c r="D137">
        <f t="shared" si="2"/>
        <v>3.8511715089034677E-2</v>
      </c>
      <c r="F137" s="494"/>
      <c r="G137" s="493"/>
      <c r="H137" s="495">
        <v>17647.150000000001</v>
      </c>
      <c r="I137">
        <f t="shared" si="3"/>
        <v>3.5378675530554286E-2</v>
      </c>
      <c r="J137" s="64"/>
      <c r="K137" s="494"/>
      <c r="L137" s="493"/>
      <c r="M137" s="498"/>
    </row>
    <row r="138" spans="1:14" x14ac:dyDescent="0.2">
      <c r="A138" s="494"/>
      <c r="B138" s="493"/>
      <c r="C138" s="495">
        <v>17650.14</v>
      </c>
      <c r="D138">
        <f t="shared" ref="D138:D149" si="4">$A$137-(((C138-$B$137)/($B$149-$B$137))*($A$137-$A$149))</f>
        <v>3.5664820558263137E-2</v>
      </c>
      <c r="F138" s="494"/>
      <c r="G138" s="493"/>
      <c r="H138" s="495">
        <v>17647.669999999998</v>
      </c>
      <c r="I138">
        <f t="shared" si="3"/>
        <v>3.5281172760589827E-2</v>
      </c>
      <c r="J138" s="64"/>
      <c r="K138" s="16" t="s">
        <v>726</v>
      </c>
      <c r="L138" s="37"/>
      <c r="M138" s="37"/>
      <c r="N138" s="37"/>
    </row>
    <row r="139" spans="1:14" x14ac:dyDescent="0.2">
      <c r="A139" s="494"/>
      <c r="B139" s="493"/>
      <c r="C139" s="495">
        <v>17650.68</v>
      </c>
      <c r="D139">
        <f t="shared" si="4"/>
        <v>3.5563535666814153E-2</v>
      </c>
      <c r="H139" s="495">
        <v>17650.14</v>
      </c>
      <c r="I139">
        <f t="shared" si="3"/>
        <v>3.4818034603255603E-2</v>
      </c>
      <c r="J139" s="64"/>
      <c r="K139" s="37" t="s">
        <v>722</v>
      </c>
      <c r="L139" s="39" t="s">
        <v>11</v>
      </c>
      <c r="M139" s="44" t="s">
        <v>721</v>
      </c>
      <c r="N139" s="39" t="s">
        <v>722</v>
      </c>
    </row>
    <row r="140" spans="1:14" x14ac:dyDescent="0.2">
      <c r="A140" s="494"/>
      <c r="B140" s="493"/>
      <c r="C140" s="495">
        <v>17651.36</v>
      </c>
      <c r="D140">
        <f t="shared" si="4"/>
        <v>3.5435991729434103E-2</v>
      </c>
      <c r="H140" s="495">
        <v>17650.68</v>
      </c>
      <c r="I140">
        <f t="shared" si="3"/>
        <v>3.4716781726753264E-2</v>
      </c>
      <c r="J140" s="64"/>
      <c r="K140" s="496">
        <v>3.7999999999999999E-2</v>
      </c>
      <c r="L140" s="497">
        <v>17633.169999999998</v>
      </c>
      <c r="M140" s="495">
        <v>17694.3</v>
      </c>
      <c r="N140">
        <f>$K$140-(((M140-$L$140)/($L$143-$L$140))*($K$140-$K$143))</f>
        <v>2.6537799369300244E-2</v>
      </c>
    </row>
    <row r="141" spans="1:14" x14ac:dyDescent="0.2">
      <c r="A141" s="494"/>
      <c r="B141" s="493"/>
      <c r="C141" s="495">
        <v>17654.439999999999</v>
      </c>
      <c r="D141">
        <f t="shared" si="4"/>
        <v>3.4858292718948587E-2</v>
      </c>
      <c r="H141" s="495">
        <v>17651.36</v>
      </c>
      <c r="I141">
        <f t="shared" si="3"/>
        <v>3.4589278104491215E-2</v>
      </c>
      <c r="J141" s="64"/>
      <c r="K141" s="494"/>
      <c r="L141" s="493"/>
      <c r="M141" s="495">
        <v>17694.3</v>
      </c>
      <c r="N141">
        <f t="shared" ref="N141:N143" si="5">$K$140-(((M141-$L$140)/($L$143-$L$140))*($K$140-$K$143))</f>
        <v>2.6537799369300244E-2</v>
      </c>
    </row>
    <row r="142" spans="1:14" x14ac:dyDescent="0.2">
      <c r="A142" s="494"/>
      <c r="B142" s="493"/>
      <c r="C142" s="495">
        <v>17654.57</v>
      </c>
      <c r="D142">
        <f t="shared" si="4"/>
        <v>3.4833909319155157E-2</v>
      </c>
      <c r="H142" s="495">
        <v>17654.439999999999</v>
      </c>
      <c r="I142">
        <f t="shared" si="3"/>
        <v>3.4011761697775485E-2</v>
      </c>
      <c r="J142" s="64"/>
      <c r="K142" s="494"/>
      <c r="L142" s="493"/>
      <c r="M142" s="495">
        <v>17724.38</v>
      </c>
      <c r="N142">
        <f>$K$140-(((M142-$L$140)/($L$143-$L$140))*($K$140-$K$143))</f>
        <v>2.0897639137475232E-2</v>
      </c>
    </row>
    <row r="143" spans="1:14" x14ac:dyDescent="0.2">
      <c r="A143" s="494"/>
      <c r="B143" s="493"/>
      <c r="C143" s="495">
        <v>17657.509999999998</v>
      </c>
      <c r="D143">
        <f t="shared" si="4"/>
        <v>3.4282469354600706E-2</v>
      </c>
      <c r="H143" s="495">
        <v>17654.57</v>
      </c>
      <c r="I143">
        <f t="shared" si="3"/>
        <v>3.3987386005284025E-2</v>
      </c>
      <c r="J143" s="64"/>
      <c r="K143" s="496">
        <v>1.6E-2</v>
      </c>
      <c r="L143" s="497">
        <v>17750.5</v>
      </c>
      <c r="M143" s="495">
        <v>17724.38</v>
      </c>
      <c r="N143">
        <f t="shared" si="5"/>
        <v>2.0897639137475232E-2</v>
      </c>
    </row>
    <row r="144" spans="1:14" x14ac:dyDescent="0.2">
      <c r="A144" s="494"/>
      <c r="B144" s="493"/>
      <c r="C144" s="495">
        <v>17672.7</v>
      </c>
      <c r="D144">
        <f t="shared" si="4"/>
        <v>3.1433362871067676E-2</v>
      </c>
      <c r="H144" s="495">
        <v>17657.509999999998</v>
      </c>
      <c r="I144">
        <f t="shared" si="3"/>
        <v>3.3436120344328003E-2</v>
      </c>
      <c r="J144" s="64"/>
      <c r="M144" s="498"/>
    </row>
    <row r="145" spans="1:14" x14ac:dyDescent="0.2">
      <c r="A145" s="494"/>
      <c r="B145" s="493"/>
      <c r="C145" s="495">
        <v>17673.240000000002</v>
      </c>
      <c r="D145">
        <f t="shared" si="4"/>
        <v>3.1332077979618692E-2</v>
      </c>
      <c r="F145" s="494"/>
      <c r="G145" s="493"/>
      <c r="H145" s="495">
        <v>17660.52</v>
      </c>
      <c r="I145">
        <f>$F$132-(((H145-$G$132)/($G$162-$G$132))*($F$132-$F$162))</f>
        <v>3.287172931049144E-2</v>
      </c>
      <c r="J145" s="64"/>
    </row>
    <row r="146" spans="1:14" x14ac:dyDescent="0.2">
      <c r="A146" s="494"/>
      <c r="B146" s="493"/>
      <c r="C146" s="495">
        <v>17673.919999999998</v>
      </c>
      <c r="D146">
        <f t="shared" si="4"/>
        <v>3.1204534042239319E-2</v>
      </c>
      <c r="F146" s="494"/>
      <c r="G146" s="493"/>
      <c r="H146" s="495">
        <v>17663.5</v>
      </c>
      <c r="I146">
        <f t="shared" si="3"/>
        <v>3.231296343646102E-2</v>
      </c>
      <c r="J146" s="64"/>
    </row>
    <row r="147" spans="1:14" x14ac:dyDescent="0.2">
      <c r="C147" s="495">
        <v>17677</v>
      </c>
      <c r="D147">
        <f t="shared" si="4"/>
        <v>3.0626835031753119E-2</v>
      </c>
      <c r="F147" s="494"/>
      <c r="G147" s="493"/>
      <c r="H147" s="495">
        <v>17666.490000000002</v>
      </c>
      <c r="I147">
        <f t="shared" si="3"/>
        <v>3.1752322509161657E-2</v>
      </c>
      <c r="J147" s="64"/>
    </row>
    <row r="148" spans="1:14" x14ac:dyDescent="0.2">
      <c r="C148" s="495">
        <v>17677.13</v>
      </c>
      <c r="D148">
        <f t="shared" si="4"/>
        <v>3.0602451631959696E-2</v>
      </c>
      <c r="F148" s="494"/>
      <c r="G148" s="493"/>
      <c r="H148" s="495">
        <v>17669.5</v>
      </c>
      <c r="I148">
        <f t="shared" si="3"/>
        <v>3.1187931475325777E-2</v>
      </c>
      <c r="J148" s="64"/>
    </row>
    <row r="149" spans="1:14" x14ac:dyDescent="0.2">
      <c r="A149" s="496">
        <v>2.53E-2</v>
      </c>
      <c r="B149" s="497">
        <v>17705.400000000001</v>
      </c>
      <c r="C149" s="495">
        <v>17680.080000000002</v>
      </c>
      <c r="D149">
        <f t="shared" si="4"/>
        <v>3.0049136021266919E-2</v>
      </c>
      <c r="F149" s="494"/>
      <c r="G149" s="493"/>
      <c r="H149" s="495">
        <v>17669.84</v>
      </c>
      <c r="I149">
        <f t="shared" si="3"/>
        <v>3.1124179664194753E-2</v>
      </c>
      <c r="J149" s="64"/>
    </row>
    <row r="150" spans="1:14" x14ac:dyDescent="0.2">
      <c r="A150" s="494"/>
      <c r="B150" s="493"/>
      <c r="C150" s="498"/>
      <c r="F150" s="494"/>
      <c r="G150" s="493"/>
      <c r="H150" s="495">
        <v>17670.37</v>
      </c>
      <c r="I150">
        <f t="shared" si="3"/>
        <v>3.1024801840961357E-2</v>
      </c>
      <c r="J150" s="64"/>
    </row>
    <row r="151" spans="1:14" x14ac:dyDescent="0.2">
      <c r="A151" s="494"/>
      <c r="B151" s="493"/>
      <c r="C151" s="498"/>
      <c r="H151" s="495">
        <v>17672.7</v>
      </c>
      <c r="I151">
        <f t="shared" si="3"/>
        <v>3.0587914429386846E-2</v>
      </c>
      <c r="J151" s="64"/>
    </row>
    <row r="152" spans="1:14" x14ac:dyDescent="0.2">
      <c r="A152" s="494"/>
      <c r="B152" s="493"/>
      <c r="C152" s="498"/>
      <c r="H152" s="495">
        <v>17673.240000000002</v>
      </c>
      <c r="I152">
        <f t="shared" si="3"/>
        <v>3.0486661552884507E-2</v>
      </c>
      <c r="J152" s="64"/>
    </row>
    <row r="153" spans="1:14" x14ac:dyDescent="0.2">
      <c r="A153" s="494"/>
      <c r="B153" s="493"/>
      <c r="C153" s="498"/>
      <c r="H153" s="495">
        <v>17673.919999999998</v>
      </c>
      <c r="I153">
        <f t="shared" si="3"/>
        <v>3.0359157930623142E-2</v>
      </c>
      <c r="J153" s="64"/>
      <c r="K153" s="23"/>
    </row>
    <row r="154" spans="1:14" x14ac:dyDescent="0.2">
      <c r="A154" s="494"/>
      <c r="B154" s="493"/>
      <c r="C154" s="498"/>
      <c r="H154" s="495">
        <v>17677</v>
      </c>
      <c r="I154">
        <f t="shared" si="3"/>
        <v>2.9781641523906725E-2</v>
      </c>
      <c r="J154" s="64"/>
    </row>
    <row r="155" spans="1:14" x14ac:dyDescent="0.2">
      <c r="A155" s="494"/>
      <c r="B155" s="493"/>
      <c r="C155" s="498"/>
      <c r="H155" s="495">
        <v>17677.13</v>
      </c>
      <c r="I155">
        <f t="shared" si="3"/>
        <v>2.9757265831415268E-2</v>
      </c>
      <c r="J155" s="64"/>
    </row>
    <row r="156" spans="1:14" x14ac:dyDescent="0.2">
      <c r="A156" s="16" t="s">
        <v>830</v>
      </c>
      <c r="B156" s="37"/>
      <c r="C156" s="37"/>
      <c r="H156" s="495">
        <v>17680.080000000002</v>
      </c>
      <c r="I156">
        <f t="shared" si="3"/>
        <v>2.9204125117190304E-2</v>
      </c>
      <c r="J156" s="64"/>
      <c r="K156" s="16" t="s">
        <v>831</v>
      </c>
      <c r="L156" s="37"/>
      <c r="M156" s="37"/>
    </row>
    <row r="157" spans="1:14" x14ac:dyDescent="0.2">
      <c r="A157" s="98" t="s">
        <v>822</v>
      </c>
      <c r="B157" s="39" t="s">
        <v>823</v>
      </c>
      <c r="C157" s="44" t="s">
        <v>824</v>
      </c>
      <c r="F157" s="494"/>
      <c r="G157" s="493"/>
      <c r="H157" s="495">
        <v>17683.12</v>
      </c>
      <c r="I157">
        <f t="shared" si="3"/>
        <v>2.8634108923548965E-2</v>
      </c>
      <c r="J157" s="64"/>
      <c r="K157" s="98" t="s">
        <v>822</v>
      </c>
      <c r="L157" s="39" t="s">
        <v>823</v>
      </c>
      <c r="M157" s="44" t="s">
        <v>824</v>
      </c>
      <c r="N157" s="37"/>
    </row>
    <row r="158" spans="1:14" x14ac:dyDescent="0.2">
      <c r="A158" s="596" t="s">
        <v>477</v>
      </c>
      <c r="B158" s="598">
        <v>0</v>
      </c>
      <c r="C158" s="599">
        <v>0</v>
      </c>
      <c r="F158" s="494"/>
      <c r="G158" s="493"/>
      <c r="H158" s="495">
        <v>17686.16</v>
      </c>
      <c r="I158">
        <f t="shared" si="3"/>
        <v>2.8064092729906946E-2</v>
      </c>
      <c r="J158" s="64"/>
      <c r="K158" s="596" t="s">
        <v>477</v>
      </c>
      <c r="L158" s="598">
        <v>0</v>
      </c>
      <c r="M158" s="599">
        <v>0</v>
      </c>
      <c r="N158" s="39"/>
    </row>
    <row r="159" spans="1:14" x14ac:dyDescent="0.2">
      <c r="A159" s="596" t="s">
        <v>825</v>
      </c>
      <c r="B159" s="602">
        <f>0.871/12</f>
        <v>7.2583333333333333E-2</v>
      </c>
      <c r="C159" s="599">
        <f>1.004/12</f>
        <v>8.3666666666666667E-2</v>
      </c>
      <c r="F159" s="494"/>
      <c r="G159" s="493"/>
      <c r="H159" s="495">
        <v>17689.21</v>
      </c>
      <c r="I159">
        <f t="shared" si="3"/>
        <v>2.7492201482996668E-2</v>
      </c>
      <c r="J159" s="64"/>
      <c r="K159" s="596" t="s">
        <v>825</v>
      </c>
      <c r="L159" s="602">
        <f>0.871/12</f>
        <v>7.2583333333333333E-2</v>
      </c>
      <c r="M159" s="599">
        <f>1.004/12</f>
        <v>8.3666666666666667E-2</v>
      </c>
    </row>
    <row r="160" spans="1:14" x14ac:dyDescent="0.2">
      <c r="A160" s="596" t="s">
        <v>826</v>
      </c>
      <c r="B160" s="598">
        <f>1.223/12</f>
        <v>0.10191666666666667</v>
      </c>
      <c r="C160" s="599">
        <f>1.408/12</f>
        <v>0.11733333333333333</v>
      </c>
      <c r="F160" s="494"/>
      <c r="G160" s="493"/>
      <c r="H160" s="495">
        <v>17692.28</v>
      </c>
      <c r="I160">
        <f t="shared" si="3"/>
        <v>2.691656012954919E-2</v>
      </c>
      <c r="J160" s="64"/>
      <c r="K160" s="596" t="s">
        <v>826</v>
      </c>
      <c r="L160" s="598">
        <f>1.223/12</f>
        <v>0.10191666666666667</v>
      </c>
      <c r="M160" s="599">
        <f>1.408/12</f>
        <v>0.11733333333333333</v>
      </c>
    </row>
    <row r="161" spans="1:24" x14ac:dyDescent="0.2">
      <c r="A161" s="596" t="s">
        <v>827</v>
      </c>
      <c r="B161" s="598">
        <f>0.871/12</f>
        <v>7.2583333333333333E-2</v>
      </c>
      <c r="C161" s="599">
        <f>1.004/12</f>
        <v>8.3666666666666667E-2</v>
      </c>
      <c r="F161" s="61"/>
      <c r="H161" s="495">
        <v>17692.580000000002</v>
      </c>
      <c r="I161">
        <f t="shared" si="3"/>
        <v>2.6860308531491885E-2</v>
      </c>
      <c r="J161" s="64"/>
      <c r="K161" s="596" t="s">
        <v>827</v>
      </c>
      <c r="L161" s="598">
        <f>0.871/12</f>
        <v>7.2583333333333333E-2</v>
      </c>
      <c r="M161" s="599">
        <f>1.004/12</f>
        <v>8.3666666666666667E-2</v>
      </c>
    </row>
    <row r="162" spans="1:24" x14ac:dyDescent="0.2">
      <c r="A162" s="597" t="s">
        <v>478</v>
      </c>
      <c r="B162" s="600">
        <v>0</v>
      </c>
      <c r="C162" s="600">
        <v>0</v>
      </c>
      <c r="F162" s="496">
        <v>1.6E-2</v>
      </c>
      <c r="G162" s="497">
        <v>17750.5</v>
      </c>
      <c r="H162" s="495">
        <v>17693.12</v>
      </c>
      <c r="I162">
        <f t="shared" si="3"/>
        <v>2.6759055654990229E-2</v>
      </c>
      <c r="J162" s="64"/>
      <c r="K162" s="597" t="s">
        <v>478</v>
      </c>
      <c r="L162" s="600">
        <v>0</v>
      </c>
      <c r="M162" s="600">
        <v>0</v>
      </c>
    </row>
    <row r="163" spans="1:24" x14ac:dyDescent="0.2">
      <c r="A163" s="494"/>
      <c r="B163" s="493"/>
      <c r="C163" s="498"/>
      <c r="F163" s="494"/>
      <c r="G163" s="493"/>
      <c r="H163" s="498"/>
      <c r="J163" s="64"/>
    </row>
    <row r="164" spans="1:24" x14ac:dyDescent="0.2">
      <c r="A164" s="44"/>
      <c r="B164" s="37"/>
      <c r="C164" s="37"/>
      <c r="D164" s="37"/>
      <c r="E164" s="37"/>
      <c r="F164" s="61"/>
      <c r="H164" s="54"/>
      <c r="J164" s="64"/>
      <c r="K164" s="23"/>
    </row>
    <row r="165" spans="1:24" x14ac:dyDescent="0.2">
      <c r="A165" s="42" t="s">
        <v>46</v>
      </c>
      <c r="C165" s="37"/>
      <c r="D165" s="37"/>
      <c r="E165" s="37"/>
      <c r="F165" s="61"/>
    </row>
    <row r="166" spans="1:24" ht="12.75" customHeight="1" thickBot="1" x14ac:dyDescent="0.25">
      <c r="A166" s="44"/>
      <c r="B166" s="37"/>
      <c r="C166" s="37"/>
      <c r="D166" s="37"/>
      <c r="E166" s="37"/>
      <c r="F166" s="61"/>
      <c r="G166" s="61"/>
      <c r="H166" s="492"/>
      <c r="I166" s="492"/>
    </row>
    <row r="167" spans="1:24" ht="57" customHeight="1" x14ac:dyDescent="0.2">
      <c r="A167" s="39"/>
      <c r="B167" s="670" t="s">
        <v>16</v>
      </c>
      <c r="C167" s="642" t="s">
        <v>715</v>
      </c>
      <c r="D167" s="642" t="s">
        <v>727</v>
      </c>
      <c r="E167" s="656" t="s">
        <v>12</v>
      </c>
      <c r="F167" s="656" t="s">
        <v>728</v>
      </c>
      <c r="G167" s="642" t="s">
        <v>729</v>
      </c>
      <c r="H167" s="642" t="s">
        <v>730</v>
      </c>
      <c r="I167" s="642" t="s">
        <v>128</v>
      </c>
      <c r="J167" s="642" t="s">
        <v>17</v>
      </c>
      <c r="K167" s="642" t="s">
        <v>828</v>
      </c>
      <c r="L167" s="642" t="s">
        <v>829</v>
      </c>
      <c r="M167" s="642" t="s">
        <v>49</v>
      </c>
      <c r="N167" s="644" t="s">
        <v>50</v>
      </c>
      <c r="O167" s="462"/>
      <c r="Q167" s="609"/>
    </row>
    <row r="168" spans="1:24" ht="57" customHeight="1" thickBot="1" x14ac:dyDescent="0.25">
      <c r="A168" s="39"/>
      <c r="B168" s="671"/>
      <c r="C168" s="643"/>
      <c r="D168" s="643"/>
      <c r="E168" s="657"/>
      <c r="F168" s="657"/>
      <c r="G168" s="643"/>
      <c r="H168" s="643"/>
      <c r="I168" s="643"/>
      <c r="J168" s="643"/>
      <c r="K168" s="643"/>
      <c r="L168" s="643"/>
      <c r="M168" s="643"/>
      <c r="N168" s="645"/>
      <c r="O168" s="462"/>
      <c r="Q168" s="609"/>
    </row>
    <row r="169" spans="1:24" ht="13.5" thickTop="1" x14ac:dyDescent="0.2">
      <c r="A169" s="39"/>
      <c r="B169" s="41" t="s">
        <v>713</v>
      </c>
      <c r="C169" s="585">
        <v>17583.349999999999</v>
      </c>
      <c r="D169" s="585">
        <v>17582.5</v>
      </c>
      <c r="E169" s="18">
        <f t="shared" ref="E169:E174" si="6">IF(F$32="Vertical Tangent",D$45+(D169-D$44)*D$47,(D$48-D$47)/(2*H$47)*(D169-D$44)^2+D$47*(D169-D$44)+D$45)</f>
        <v>758.8480703125</v>
      </c>
      <c r="F169" s="583">
        <v>2.06</v>
      </c>
      <c r="G169" s="588">
        <v>3.7999999999999999E-2</v>
      </c>
      <c r="H169" s="583">
        <v>25.666699999999999</v>
      </c>
      <c r="I169" s="500"/>
      <c r="J169" s="499">
        <f>E169+(F169*G169)+($F$58*$H$58)+($E$58*$D$58)</f>
        <v>758.92635031249995</v>
      </c>
      <c r="K169" s="499"/>
      <c r="L169" s="499"/>
      <c r="M169" s="19"/>
      <c r="N169" s="20"/>
      <c r="O169" s="66" t="str">
        <f>IF(N169=MIN(N$169:N$181),FLOOR(N169,0.25)," ")</f>
        <v xml:space="preserve"> </v>
      </c>
      <c r="P169" s="43" t="str">
        <f>IF(O169=" "," ","(Controls)")</f>
        <v xml:space="preserve"> </v>
      </c>
      <c r="Q169" s="2"/>
      <c r="R169" s="39" t="s">
        <v>847</v>
      </c>
    </row>
    <row r="170" spans="1:24" x14ac:dyDescent="0.2">
      <c r="A170" s="39"/>
      <c r="B170" s="41" t="s">
        <v>716</v>
      </c>
      <c r="C170" s="585">
        <v>17583.830000000002</v>
      </c>
      <c r="D170" s="585">
        <v>17583.04</v>
      </c>
      <c r="E170" s="18">
        <f t="shared" si="6"/>
        <v>758.84630518303265</v>
      </c>
      <c r="F170" s="583">
        <v>2.04</v>
      </c>
      <c r="G170" s="588">
        <v>3.7999999999999999E-2</v>
      </c>
      <c r="H170" s="583">
        <v>24</v>
      </c>
      <c r="I170" s="500"/>
      <c r="J170" s="499">
        <f>E170+(F170*G170)+($F$58*$H$58)+($E$58*$D$58)</f>
        <v>758.9238251830327</v>
      </c>
      <c r="K170" s="601">
        <f>J170</f>
        <v>758.9238251830327</v>
      </c>
      <c r="L170" s="499"/>
      <c r="M170" s="19"/>
      <c r="N170" s="20"/>
      <c r="O170" s="66"/>
      <c r="P170" s="43"/>
      <c r="Q170" s="2"/>
      <c r="R170" s="582" t="s">
        <v>477</v>
      </c>
      <c r="S170" s="582" t="s">
        <v>49</v>
      </c>
      <c r="T170" s="582" t="s">
        <v>846</v>
      </c>
      <c r="V170" s="39" t="s">
        <v>478</v>
      </c>
      <c r="W170" s="582" t="s">
        <v>49</v>
      </c>
      <c r="X170" s="582" t="s">
        <v>846</v>
      </c>
    </row>
    <row r="171" spans="1:24" x14ac:dyDescent="0.2">
      <c r="B171" s="41" t="s">
        <v>51</v>
      </c>
      <c r="C171" s="585">
        <v>17584.43</v>
      </c>
      <c r="D171" s="585">
        <v>17583.71</v>
      </c>
      <c r="E171" s="18">
        <f t="shared" si="6"/>
        <v>758.84408882988498</v>
      </c>
      <c r="F171" s="583">
        <v>2.02</v>
      </c>
      <c r="G171" s="588">
        <v>3.7999999999999999E-2</v>
      </c>
      <c r="H171" s="583">
        <f>21.916667</f>
        <v>21.916667</v>
      </c>
      <c r="I171" s="500"/>
      <c r="J171" s="499">
        <f>E171+(F171*G171)+($F$58*$H$58)+((H171-$E$58)*$D$58)</f>
        <v>759.00418214988508</v>
      </c>
      <c r="K171" s="499"/>
      <c r="L171" s="601">
        <f>J171-8.5/12</f>
        <v>758.29584881655171</v>
      </c>
      <c r="M171" s="19">
        <f>J171-D$28</f>
        <v>752.11879714988504</v>
      </c>
      <c r="N171" s="20">
        <f>N179</f>
        <v>745.51981336489769</v>
      </c>
      <c r="O171" s="66">
        <f>IF(N171=MIN(N$169:N$181),FLOOR(N171,0.25)," ")</f>
        <v>745.5</v>
      </c>
      <c r="P171" s="43" t="str">
        <f>IF(O171=" "," ","(Controls)")</f>
        <v>(Controls)</v>
      </c>
      <c r="Q171" s="23"/>
      <c r="R171" s="462" t="str">
        <f>B171</f>
        <v>B1</v>
      </c>
      <c r="S171" s="74">
        <f>M171</f>
        <v>752.11879714988504</v>
      </c>
      <c r="T171" s="462">
        <v>745.25</v>
      </c>
      <c r="V171" s="462" t="str">
        <f t="shared" ref="V171:V177" si="7">R171</f>
        <v>B1</v>
      </c>
      <c r="W171" s="23">
        <f t="shared" ref="W171:W172" si="8">M246</f>
        <v>751.37651733092991</v>
      </c>
      <c r="X171" s="74">
        <v>745</v>
      </c>
    </row>
    <row r="172" spans="1:24" x14ac:dyDescent="0.2">
      <c r="B172" s="41" t="s">
        <v>52</v>
      </c>
      <c r="C172" s="585">
        <v>17587.189999999999</v>
      </c>
      <c r="D172" s="585">
        <v>17586.79</v>
      </c>
      <c r="E172" s="18">
        <f t="shared" si="6"/>
        <v>758.83352573888499</v>
      </c>
      <c r="F172" s="583">
        <v>1.92</v>
      </c>
      <c r="G172" s="588">
        <v>3.7999999999999999E-2</v>
      </c>
      <c r="H172" s="583">
        <v>12.416667</v>
      </c>
      <c r="I172" s="500"/>
      <c r="J172" s="499">
        <f>E172+(F172*G172)+($F$58*$H$58)+((H172-$E$58)*$D$58)</f>
        <v>759.36981905888501</v>
      </c>
      <c r="K172" s="499"/>
      <c r="L172" s="601">
        <f t="shared" ref="L172:L179" si="9">J172-8.5/12</f>
        <v>758.66148572555164</v>
      </c>
      <c r="M172" s="19">
        <f>J172-E$28</f>
        <v>752.49151739221838</v>
      </c>
      <c r="N172" s="20">
        <f>N179</f>
        <v>745.51981336489769</v>
      </c>
      <c r="O172" s="66">
        <f>IF(N172=MIN(N$169:N$181),FLOOR(N172,0.25)," ")</f>
        <v>745.5</v>
      </c>
      <c r="P172" s="43" t="str">
        <f>IF(O172=" "," ","(Controls)")</f>
        <v>(Controls)</v>
      </c>
      <c r="Q172" s="23"/>
      <c r="R172" s="462" t="str">
        <f t="shared" ref="R172" si="10">B172</f>
        <v>B2</v>
      </c>
      <c r="S172" s="74">
        <f t="shared" ref="S172" si="11">M172</f>
        <v>752.49151739221838</v>
      </c>
      <c r="T172" s="462">
        <v>745.25</v>
      </c>
      <c r="V172" s="462" t="str">
        <f t="shared" si="7"/>
        <v>B2</v>
      </c>
      <c r="W172" s="23">
        <f t="shared" si="8"/>
        <v>751.72711378155475</v>
      </c>
      <c r="X172" s="74">
        <v>745</v>
      </c>
    </row>
    <row r="173" spans="1:24" x14ac:dyDescent="0.2">
      <c r="B173" s="41" t="s">
        <v>717</v>
      </c>
      <c r="C173" s="585">
        <v>17587.310000000001</v>
      </c>
      <c r="D173" s="585">
        <v>17586.919999999998</v>
      </c>
      <c r="E173" s="18">
        <f t="shared" si="6"/>
        <v>758.8330663641309</v>
      </c>
      <c r="F173" s="583">
        <v>1.91</v>
      </c>
      <c r="G173" s="588">
        <v>3.7999999999999999E-2</v>
      </c>
      <c r="H173" s="583">
        <v>12</v>
      </c>
      <c r="I173" s="500"/>
      <c r="J173" s="499">
        <f>E173+(F173*G173)+($F$58*$H$58)</f>
        <v>759.38564636413093</v>
      </c>
      <c r="K173" s="601">
        <f>J173</f>
        <v>759.38564636413093</v>
      </c>
      <c r="L173" s="499"/>
      <c r="M173" s="19"/>
      <c r="N173" s="20"/>
      <c r="O173" s="66"/>
      <c r="P173" s="43"/>
      <c r="Q173" s="23"/>
      <c r="R173" s="462" t="str">
        <f>B174</f>
        <v>B3</v>
      </c>
      <c r="S173" s="74">
        <f>M174</f>
        <v>752.14487251129833</v>
      </c>
      <c r="T173" s="462">
        <v>745.25</v>
      </c>
      <c r="V173" s="462" t="str">
        <f t="shared" si="7"/>
        <v>B3</v>
      </c>
      <c r="W173" s="23">
        <f>M249</f>
        <v>751.44905881231841</v>
      </c>
      <c r="X173" s="74">
        <v>745</v>
      </c>
    </row>
    <row r="174" spans="1:24" x14ac:dyDescent="0.2">
      <c r="B174" s="41" t="s">
        <v>53</v>
      </c>
      <c r="C174" s="585">
        <v>17589.96</v>
      </c>
      <c r="D174" s="585">
        <v>17589.87</v>
      </c>
      <c r="E174" s="18">
        <f t="shared" si="6"/>
        <v>758.82234749796498</v>
      </c>
      <c r="F174" s="583">
        <v>1.82</v>
      </c>
      <c r="G174" s="588">
        <v>3.7999999999999999E-2</v>
      </c>
      <c r="H174" s="583">
        <v>2.9166669999999999</v>
      </c>
      <c r="I174" s="500"/>
      <c r="J174" s="499">
        <f>E174+(F174*G174)+($F$58*H174)</f>
        <v>759.00817417796497</v>
      </c>
      <c r="K174" s="499"/>
      <c r="L174" s="601">
        <f t="shared" si="9"/>
        <v>758.2998408446316</v>
      </c>
      <c r="M174" s="19">
        <f>J174-F$28</f>
        <v>752.14487251129833</v>
      </c>
      <c r="N174" s="20">
        <f>N179</f>
        <v>745.51981336489769</v>
      </c>
      <c r="O174" s="66">
        <f>IF(N174=MIN(N$169:N$181),FLOOR(N174,0.25)," ")</f>
        <v>745.5</v>
      </c>
      <c r="P174" s="43" t="str">
        <f>IF(O174=" "," ","(Controls)")</f>
        <v>(Controls)</v>
      </c>
      <c r="Q174" s="23"/>
      <c r="R174" s="462" t="str">
        <f>B176</f>
        <v>B4</v>
      </c>
      <c r="S174" s="74">
        <f>M176</f>
        <v>751.76348347646604</v>
      </c>
      <c r="T174" s="462">
        <v>745.25</v>
      </c>
      <c r="V174" s="462" t="str">
        <f t="shared" si="7"/>
        <v>B4</v>
      </c>
      <c r="W174" s="23">
        <f>M251</f>
        <v>751.14279358970384</v>
      </c>
      <c r="X174" s="74">
        <v>745</v>
      </c>
    </row>
    <row r="175" spans="1:24" x14ac:dyDescent="0.2">
      <c r="B175" s="41" t="s">
        <v>718</v>
      </c>
      <c r="C175" s="585">
        <v>17591.333999999999</v>
      </c>
      <c r="D175" s="65"/>
      <c r="E175" s="18">
        <f t="shared" ref="E175:E181" si="12">IF(F$32="Vertical Tangent",D$45+(C175-D$44)*D$47,(D$48-D$47)/(2*H$47)*(C175-D$44)^2+D$47*(C175-D$44)+D$45)</f>
        <v>758.81681851475935</v>
      </c>
      <c r="F175" s="501"/>
      <c r="G175" s="500">
        <v>0</v>
      </c>
      <c r="H175" s="501"/>
      <c r="I175" s="500">
        <v>0</v>
      </c>
      <c r="J175" s="499">
        <f>E175</f>
        <v>758.81681851475935</v>
      </c>
      <c r="K175" s="601">
        <f>J175</f>
        <v>758.81681851475935</v>
      </c>
      <c r="L175" s="499"/>
      <c r="M175" s="19"/>
      <c r="N175" s="20"/>
      <c r="O175" s="66"/>
      <c r="P175" s="43"/>
      <c r="Q175" s="23"/>
      <c r="R175" s="462" t="str">
        <f>B177</f>
        <v>B5</v>
      </c>
      <c r="S175" s="74">
        <f>M177</f>
        <v>751.38455120007825</v>
      </c>
      <c r="T175" s="462">
        <v>745.25</v>
      </c>
      <c r="V175" s="462" t="str">
        <f t="shared" si="7"/>
        <v>B5</v>
      </c>
      <c r="W175" s="23">
        <f>M252</f>
        <v>750.84606130137581</v>
      </c>
      <c r="X175" s="74">
        <v>745</v>
      </c>
    </row>
    <row r="176" spans="1:24" x14ac:dyDescent="0.2">
      <c r="B176" s="41" t="s">
        <v>54</v>
      </c>
      <c r="C176" s="585">
        <v>17592.740000000002</v>
      </c>
      <c r="D176" s="65"/>
      <c r="E176" s="18">
        <f t="shared" si="12"/>
        <v>758.81137774313265</v>
      </c>
      <c r="F176" s="501"/>
      <c r="G176" s="500"/>
      <c r="H176" s="583">
        <v>4.8577000000000004</v>
      </c>
      <c r="I176" s="588">
        <v>-3.7999999999999999E-2</v>
      </c>
      <c r="J176" s="499">
        <f t="shared" ref="J176:J181" si="13">E176+(I176*H176)</f>
        <v>758.62678514313268</v>
      </c>
      <c r="K176" s="499"/>
      <c r="L176" s="601">
        <f t="shared" si="9"/>
        <v>757.91845180979931</v>
      </c>
      <c r="M176" s="19">
        <f>J176-G$28</f>
        <v>751.76348347646604</v>
      </c>
      <c r="N176" s="20">
        <f>N179</f>
        <v>745.51981336489769</v>
      </c>
      <c r="O176" s="66">
        <f>IF(N176=MIN(N$169:N$181),FLOOR(N176,0.25)," ")</f>
        <v>745.5</v>
      </c>
      <c r="P176" s="43" t="str">
        <f>IF(O176=" "," ","(Controls)")</f>
        <v>(Controls)</v>
      </c>
      <c r="Q176" s="23"/>
      <c r="R176" s="462" t="str">
        <f>B178</f>
        <v>B6</v>
      </c>
      <c r="S176" s="74">
        <f>M178</f>
        <v>750.95510855431746</v>
      </c>
      <c r="T176" s="462">
        <v>745.25</v>
      </c>
      <c r="V176" s="462" t="str">
        <f t="shared" si="7"/>
        <v>B6</v>
      </c>
      <c r="W176" s="23">
        <f>M253</f>
        <v>750.50959470055693</v>
      </c>
      <c r="X176" s="74">
        <v>745</v>
      </c>
    </row>
    <row r="177" spans="1:29" x14ac:dyDescent="0.2">
      <c r="B177" s="41" t="s">
        <v>55</v>
      </c>
      <c r="C177" s="585">
        <v>17595.54</v>
      </c>
      <c r="D177" s="65"/>
      <c r="E177" s="18">
        <f t="shared" si="12"/>
        <v>758.80016080007817</v>
      </c>
      <c r="F177" s="501"/>
      <c r="G177" s="500"/>
      <c r="H177" s="583">
        <v>14.4467</v>
      </c>
      <c r="I177" s="588">
        <v>-3.7999999999999999E-2</v>
      </c>
      <c r="J177" s="499">
        <f t="shared" si="13"/>
        <v>758.25118620007822</v>
      </c>
      <c r="K177" s="499"/>
      <c r="L177" s="601">
        <f t="shared" si="9"/>
        <v>757.54285286674485</v>
      </c>
      <c r="M177" s="19">
        <f>J177-H$28</f>
        <v>751.38455120007825</v>
      </c>
      <c r="N177" s="20">
        <f>N179</f>
        <v>745.51981336489769</v>
      </c>
      <c r="O177" s="66">
        <f>IF(N177=MIN(N$169:N$181),FLOOR(N177,0.25)," ")</f>
        <v>745.5</v>
      </c>
      <c r="P177" s="43" t="str">
        <f>IF(O177=" "," ","(Controls)")</f>
        <v>(Controls)</v>
      </c>
      <c r="Q177" s="23"/>
      <c r="R177" s="462" t="str">
        <f>B179</f>
        <v>B7</v>
      </c>
      <c r="S177" s="74">
        <f>M179</f>
        <v>750.51981336489769</v>
      </c>
      <c r="T177" s="462">
        <v>745.25</v>
      </c>
      <c r="V177" s="462" t="str">
        <f t="shared" si="7"/>
        <v>B7</v>
      </c>
      <c r="W177" s="23">
        <f>M254</f>
        <v>750.17798515510867</v>
      </c>
      <c r="X177" s="74">
        <v>745</v>
      </c>
    </row>
    <row r="178" spans="1:29" x14ac:dyDescent="0.2">
      <c r="B178" s="41" t="s">
        <v>56</v>
      </c>
      <c r="C178" s="585">
        <v>17598.36</v>
      </c>
      <c r="D178" s="65"/>
      <c r="E178" s="18">
        <f t="shared" si="12"/>
        <v>758.78834988765084</v>
      </c>
      <c r="F178" s="501"/>
      <c r="G178" s="500"/>
      <c r="H178" s="583">
        <v>24.0335</v>
      </c>
      <c r="I178" s="588">
        <v>-3.7999999999999999E-2</v>
      </c>
      <c r="J178" s="499">
        <f t="shared" si="13"/>
        <v>757.87507688765083</v>
      </c>
      <c r="K178" s="499"/>
      <c r="L178" s="601">
        <f t="shared" si="9"/>
        <v>757.16674355431746</v>
      </c>
      <c r="M178" s="19">
        <f>J178-I$28</f>
        <v>750.95510855431746</v>
      </c>
      <c r="N178" s="20">
        <f>N179</f>
        <v>745.51981336489769</v>
      </c>
      <c r="O178" s="66">
        <f>IF(N178=MIN(N$169:N$181),FLOOR(N178,0.25)," ")</f>
        <v>745.5</v>
      </c>
      <c r="P178" s="43" t="str">
        <f>IF(O178=" "," ","(Controls)")</f>
        <v>(Controls)</v>
      </c>
      <c r="Q178" s="23"/>
    </row>
    <row r="179" spans="1:29" x14ac:dyDescent="0.2">
      <c r="B179" s="41" t="s">
        <v>57</v>
      </c>
      <c r="C179" s="585">
        <v>17601.18</v>
      </c>
      <c r="D179" s="65"/>
      <c r="E179" s="18">
        <f t="shared" si="12"/>
        <v>758.77602329823094</v>
      </c>
      <c r="F179" s="501"/>
      <c r="G179" s="500"/>
      <c r="H179" s="583">
        <v>33.618200000000002</v>
      </c>
      <c r="I179" s="588">
        <v>-3.7999999999999999E-2</v>
      </c>
      <c r="J179" s="499">
        <f t="shared" si="13"/>
        <v>757.49853169823098</v>
      </c>
      <c r="K179" s="499"/>
      <c r="L179" s="601">
        <f t="shared" si="9"/>
        <v>756.79019836489761</v>
      </c>
      <c r="M179" s="19">
        <f>J179-J$28</f>
        <v>750.51981336489769</v>
      </c>
      <c r="N179" s="20">
        <f>M179-F$11</f>
        <v>745.51981336489769</v>
      </c>
      <c r="O179" s="66"/>
      <c r="P179" s="43"/>
      <c r="Q179" s="23"/>
    </row>
    <row r="180" spans="1:29" x14ac:dyDescent="0.2">
      <c r="B180" s="506" t="s">
        <v>719</v>
      </c>
      <c r="C180" s="586">
        <v>17601.89</v>
      </c>
      <c r="D180" s="504"/>
      <c r="E180" s="18">
        <f t="shared" si="12"/>
        <v>758.77283853413951</v>
      </c>
      <c r="F180" s="501"/>
      <c r="G180" s="500"/>
      <c r="H180" s="583">
        <v>36</v>
      </c>
      <c r="I180" s="588">
        <v>-3.7999999999999999E-2</v>
      </c>
      <c r="J180" s="499">
        <f t="shared" si="13"/>
        <v>757.40483853413946</v>
      </c>
      <c r="K180" s="601">
        <f>J180</f>
        <v>757.40483853413946</v>
      </c>
      <c r="L180" s="499"/>
      <c r="M180" s="19"/>
      <c r="N180" s="20"/>
      <c r="O180" s="66"/>
      <c r="P180" s="43"/>
      <c r="Q180" s="23"/>
    </row>
    <row r="181" spans="1:29" ht="13.5" thickBot="1" x14ac:dyDescent="0.25">
      <c r="A181" s="39"/>
      <c r="B181" s="507" t="s">
        <v>714</v>
      </c>
      <c r="C181" s="587">
        <v>17602.38</v>
      </c>
      <c r="D181" s="67"/>
      <c r="E181" s="68">
        <f t="shared" si="12"/>
        <v>758.7706215337945</v>
      </c>
      <c r="F181" s="502"/>
      <c r="G181" s="503"/>
      <c r="H181" s="584">
        <v>37.666699999999999</v>
      </c>
      <c r="I181" s="589">
        <v>-3.7999999999999999E-2</v>
      </c>
      <c r="J181" s="96">
        <f t="shared" si="13"/>
        <v>757.33928693379448</v>
      </c>
      <c r="K181" s="96"/>
      <c r="L181" s="96"/>
      <c r="M181" s="105"/>
      <c r="N181" s="505"/>
      <c r="O181" s="66"/>
      <c r="P181" s="43"/>
      <c r="Q181" s="2"/>
    </row>
    <row r="182" spans="1:29" x14ac:dyDescent="0.2">
      <c r="B182" s="69"/>
      <c r="C182" s="24"/>
      <c r="D182" s="21"/>
      <c r="E182" s="22"/>
      <c r="F182" s="23"/>
      <c r="G182" s="23"/>
      <c r="Q182" s="2"/>
    </row>
    <row r="183" spans="1:29" x14ac:dyDescent="0.2">
      <c r="A183" s="43" t="s">
        <v>130</v>
      </c>
      <c r="B183" s="69"/>
      <c r="C183" s="24"/>
      <c r="D183" s="21"/>
      <c r="E183" s="22"/>
      <c r="F183" s="23"/>
      <c r="G183" s="23"/>
      <c r="Q183" s="2"/>
    </row>
    <row r="184" spans="1:29" x14ac:dyDescent="0.2">
      <c r="A184" s="100">
        <v>0.25</v>
      </c>
      <c r="B184" s="97" t="s">
        <v>129</v>
      </c>
      <c r="C184" s="37"/>
      <c r="D184" s="37"/>
      <c r="E184" s="37"/>
      <c r="F184" s="61"/>
      <c r="G184" s="61"/>
      <c r="H184" s="2"/>
      <c r="I184" s="2"/>
      <c r="Q184" s="2"/>
      <c r="AC184" s="39"/>
    </row>
    <row r="185" spans="1:29" ht="12.75" customHeight="1" thickBot="1" x14ac:dyDescent="0.25">
      <c r="A185" s="44"/>
      <c r="B185" s="37"/>
      <c r="C185" s="37"/>
      <c r="D185" s="37"/>
      <c r="E185" s="37"/>
      <c r="F185" s="61"/>
      <c r="G185" s="61"/>
      <c r="H185" s="492"/>
      <c r="I185" s="492"/>
      <c r="Q185" s="2"/>
    </row>
    <row r="186" spans="1:29" ht="57" customHeight="1" x14ac:dyDescent="0.2">
      <c r="A186" s="39"/>
      <c r="B186" s="646" t="s">
        <v>16</v>
      </c>
      <c r="C186" s="648" t="s">
        <v>715</v>
      </c>
      <c r="D186" s="648" t="s">
        <v>727</v>
      </c>
      <c r="E186" s="650" t="s">
        <v>12</v>
      </c>
      <c r="F186" s="650" t="s">
        <v>728</v>
      </c>
      <c r="G186" s="642" t="s">
        <v>729</v>
      </c>
      <c r="H186" s="650" t="s">
        <v>720</v>
      </c>
      <c r="I186" s="642" t="s">
        <v>128</v>
      </c>
      <c r="J186" s="648" t="s">
        <v>17</v>
      </c>
      <c r="K186" s="642" t="s">
        <v>828</v>
      </c>
      <c r="L186" s="644" t="s">
        <v>829</v>
      </c>
      <c r="M186" s="462"/>
      <c r="O186" s="609"/>
    </row>
    <row r="187" spans="1:29" ht="57" customHeight="1" thickBot="1" x14ac:dyDescent="0.25">
      <c r="A187" s="39"/>
      <c r="B187" s="647"/>
      <c r="C187" s="649"/>
      <c r="D187" s="649"/>
      <c r="E187" s="651"/>
      <c r="F187" s="651"/>
      <c r="G187" s="643"/>
      <c r="H187" s="651"/>
      <c r="I187" s="643"/>
      <c r="J187" s="649"/>
      <c r="K187" s="643"/>
      <c r="L187" s="645"/>
      <c r="M187" s="462"/>
      <c r="O187" s="609"/>
    </row>
    <row r="188" spans="1:29" ht="13.5" thickTop="1" x14ac:dyDescent="0.2">
      <c r="A188" s="39"/>
      <c r="B188" s="41" t="s">
        <v>713</v>
      </c>
      <c r="C188" s="585">
        <v>17605.73</v>
      </c>
      <c r="D188" s="585">
        <v>17605.04</v>
      </c>
      <c r="E188" s="18">
        <f>IF(F$32="Vertical Tangent",D$45+(D188-D$44)*D$47,(D$48-D$47)/(2*H$47)*(D188-D$44)^2+D$47*(D188-D$44)+D$45)</f>
        <v>758.75831471903268</v>
      </c>
      <c r="F188" s="583">
        <v>1.37</v>
      </c>
      <c r="G188" s="588">
        <v>3.7999999999999999E-2</v>
      </c>
      <c r="H188" s="583">
        <v>25.666699999999999</v>
      </c>
      <c r="I188" s="500"/>
      <c r="J188" s="499">
        <f>E188+(F188*G188)+($F$58*$H$58)+($E$58*$D$58)</f>
        <v>758.81037471903267</v>
      </c>
      <c r="K188" s="499"/>
      <c r="L188" s="610"/>
      <c r="M188" s="66"/>
      <c r="N188" s="43"/>
      <c r="O188" s="2"/>
    </row>
    <row r="189" spans="1:29" x14ac:dyDescent="0.2">
      <c r="A189" s="39"/>
      <c r="B189" s="41" t="s">
        <v>716</v>
      </c>
      <c r="C189" s="585">
        <v>17606.22</v>
      </c>
      <c r="D189" s="585">
        <v>17605.580000000002</v>
      </c>
      <c r="E189" s="18">
        <f t="shared" ref="E189:E193" si="14">IF(F$32="Vertical Tangent",D$45+(D189-D$44)*D$47,(D$48-D$47)/(2*H$47)*(D189-D$44)^2+D$47*(D189-D$44)+D$45)</f>
        <v>758.75576031663093</v>
      </c>
      <c r="F189" s="583">
        <v>1.36</v>
      </c>
      <c r="G189" s="588">
        <v>3.7999999999999999E-2</v>
      </c>
      <c r="H189" s="583">
        <v>24</v>
      </c>
      <c r="I189" s="500"/>
      <c r="J189" s="499">
        <f t="shared" ref="J189" si="15">E189+(F189*G189)+($F$58*$H$58)+($E$58*$D$58)</f>
        <v>758.80744031663096</v>
      </c>
      <c r="K189" s="601">
        <f>J189+B$159</f>
        <v>758.8800236499643</v>
      </c>
      <c r="L189" s="610"/>
      <c r="M189" s="66"/>
      <c r="N189" s="43"/>
      <c r="O189" s="2"/>
    </row>
    <row r="190" spans="1:29" x14ac:dyDescent="0.2">
      <c r="B190" s="41" t="s">
        <v>51</v>
      </c>
      <c r="C190" s="585">
        <v>17606.84</v>
      </c>
      <c r="D190" s="585">
        <v>17606.25</v>
      </c>
      <c r="E190" s="18">
        <f t="shared" si="14"/>
        <v>758.75256468039765</v>
      </c>
      <c r="F190" s="583">
        <v>1.34</v>
      </c>
      <c r="G190" s="588">
        <v>3.7999999999999999E-2</v>
      </c>
      <c r="H190" s="583">
        <v>21.916667</v>
      </c>
      <c r="I190" s="500"/>
      <c r="J190" s="499">
        <f>E190+(F190*G190)+($F$58*$H$58)+((H190-$E$58)*$D$58)</f>
        <v>758.88681800039774</v>
      </c>
      <c r="K190" s="499"/>
      <c r="L190" s="611">
        <f>J190-8.5/12+B159</f>
        <v>758.25106800039771</v>
      </c>
      <c r="M190" s="66"/>
      <c r="N190" s="43"/>
      <c r="O190" s="23"/>
    </row>
    <row r="191" spans="1:29" x14ac:dyDescent="0.2">
      <c r="B191" s="41" t="s">
        <v>52</v>
      </c>
      <c r="C191" s="585">
        <v>17609.650000000001</v>
      </c>
      <c r="D191" s="585">
        <v>17609.330000000002</v>
      </c>
      <c r="E191" s="18">
        <f t="shared" si="14"/>
        <v>758.73749981043773</v>
      </c>
      <c r="F191" s="583">
        <v>1.26</v>
      </c>
      <c r="G191" s="588">
        <v>3.7999999999999999E-2</v>
      </c>
      <c r="H191" s="583">
        <v>12.416667</v>
      </c>
      <c r="I191" s="500"/>
      <c r="J191" s="499">
        <f>E191+(F191*G191)+($F$58*$H$58)+((H191-$E$58)*$D$58)</f>
        <v>759.24871313043775</v>
      </c>
      <c r="K191" s="499"/>
      <c r="L191" s="611">
        <f>J191-8.5/12+C159</f>
        <v>758.62404646377104</v>
      </c>
      <c r="M191" s="66"/>
      <c r="N191" s="43"/>
      <c r="O191" s="23"/>
    </row>
    <row r="192" spans="1:29" x14ac:dyDescent="0.2">
      <c r="B192" s="41" t="s">
        <v>717</v>
      </c>
      <c r="C192" s="585">
        <v>17609.78</v>
      </c>
      <c r="D192" s="585">
        <v>17609.47</v>
      </c>
      <c r="E192" s="18">
        <f t="shared" si="14"/>
        <v>758.73680042745593</v>
      </c>
      <c r="F192" s="583">
        <v>1.25</v>
      </c>
      <c r="G192" s="588">
        <v>3.7999999999999999E-2</v>
      </c>
      <c r="H192" s="583">
        <v>12</v>
      </c>
      <c r="I192" s="500"/>
      <c r="J192" s="499">
        <f>E192+(F192*G192)+($F$58*$H$58)</f>
        <v>759.26430042745596</v>
      </c>
      <c r="K192" s="601">
        <f>J192+C$159</f>
        <v>759.34796709412262</v>
      </c>
      <c r="L192" s="610"/>
      <c r="M192" s="66"/>
      <c r="N192" s="43"/>
      <c r="O192" s="23"/>
    </row>
    <row r="193" spans="1:17" x14ac:dyDescent="0.2">
      <c r="B193" s="41" t="s">
        <v>53</v>
      </c>
      <c r="C193" s="585">
        <v>17612.48</v>
      </c>
      <c r="D193" s="585">
        <v>17612.41</v>
      </c>
      <c r="E193" s="18">
        <f t="shared" si="14"/>
        <v>758.72181979055767</v>
      </c>
      <c r="F193" s="583">
        <v>1.18</v>
      </c>
      <c r="G193" s="588">
        <v>3.7999999999999999E-2</v>
      </c>
      <c r="H193" s="583">
        <v>2.9166669999999999</v>
      </c>
      <c r="I193" s="500"/>
      <c r="J193" s="499">
        <f>E193+(F193*G193)+(H193*F58)</f>
        <v>758.88332647055768</v>
      </c>
      <c r="K193" s="499"/>
      <c r="L193" s="611">
        <f>J193-8.5/12+C159</f>
        <v>758.25865980389096</v>
      </c>
      <c r="M193" s="66"/>
      <c r="N193" s="43"/>
      <c r="O193" s="23"/>
    </row>
    <row r="194" spans="1:17" x14ac:dyDescent="0.2">
      <c r="B194" s="41" t="s">
        <v>718</v>
      </c>
      <c r="C194" s="585">
        <v>17613.7</v>
      </c>
      <c r="D194" s="65"/>
      <c r="E194" s="18">
        <f t="shared" ref="E194:E200" si="16">IF(F$32="Vertical Tangent",D$45+(C194-D$44)*D$47,(D$48-D$47)/(2*H$47)*(C194-D$44)^2+D$47*(C194-D$44)+D$45)</f>
        <v>758.71506973286364</v>
      </c>
      <c r="F194" s="501"/>
      <c r="G194" s="500">
        <v>0</v>
      </c>
      <c r="H194" s="501"/>
      <c r="I194" s="500">
        <v>0</v>
      </c>
      <c r="J194" s="499">
        <f>E194</f>
        <v>758.71506973286364</v>
      </c>
      <c r="K194" s="601">
        <f>J194+C$159</f>
        <v>758.7987363995303</v>
      </c>
      <c r="L194" s="610"/>
      <c r="M194" s="66"/>
      <c r="N194" s="43"/>
      <c r="O194" s="23"/>
    </row>
    <row r="195" spans="1:17" x14ac:dyDescent="0.2">
      <c r="B195" s="41" t="s">
        <v>54</v>
      </c>
      <c r="C195" s="585">
        <v>17615.330000000002</v>
      </c>
      <c r="D195" s="65"/>
      <c r="E195" s="18">
        <f t="shared" si="16"/>
        <v>758.7063862709831</v>
      </c>
      <c r="F195" s="501"/>
      <c r="G195" s="500"/>
      <c r="H195" s="583">
        <v>5.4804000000000004</v>
      </c>
      <c r="I195" s="588">
        <v>-3.7999999999999999E-2</v>
      </c>
      <c r="J195" s="499">
        <f t="shared" ref="J195:J200" si="17">E195+(I195*H195)</f>
        <v>758.49813107098305</v>
      </c>
      <c r="K195" s="499"/>
      <c r="L195" s="611">
        <f>J195-8.5/12+C159</f>
        <v>757.87346440431634</v>
      </c>
      <c r="M195" s="66"/>
      <c r="N195" s="43"/>
      <c r="O195" s="23"/>
    </row>
    <row r="196" spans="1:17" x14ac:dyDescent="0.2">
      <c r="B196" s="41" t="s">
        <v>55</v>
      </c>
      <c r="C196" s="585">
        <v>17618.189999999999</v>
      </c>
      <c r="D196" s="65"/>
      <c r="E196" s="18">
        <f t="shared" si="16"/>
        <v>758.69073390490314</v>
      </c>
      <c r="F196" s="501"/>
      <c r="G196" s="500"/>
      <c r="H196" s="583">
        <v>15.052</v>
      </c>
      <c r="I196" s="588">
        <v>-3.7999999999999999E-2</v>
      </c>
      <c r="J196" s="499">
        <f t="shared" si="17"/>
        <v>758.11875790490319</v>
      </c>
      <c r="K196" s="499"/>
      <c r="L196" s="611">
        <f>J196-8.5/12+C159</f>
        <v>757.49409123823648</v>
      </c>
      <c r="M196" s="66"/>
      <c r="N196" s="43"/>
      <c r="O196" s="23"/>
    </row>
    <row r="197" spans="1:17" x14ac:dyDescent="0.2">
      <c r="B197" s="41" t="s">
        <v>56</v>
      </c>
      <c r="C197" s="585">
        <v>17621.060000000001</v>
      </c>
      <c r="D197" s="65"/>
      <c r="E197" s="18">
        <f t="shared" si="16"/>
        <v>758.67449361527815</v>
      </c>
      <c r="F197" s="501"/>
      <c r="G197" s="500"/>
      <c r="H197" s="583">
        <v>24.621400000000001</v>
      </c>
      <c r="I197" s="588">
        <v>-3.7999999999999999E-2</v>
      </c>
      <c r="J197" s="499">
        <f t="shared" si="17"/>
        <v>757.73888041527812</v>
      </c>
      <c r="K197" s="499"/>
      <c r="L197" s="611">
        <f>J197-8.5/12+C159</f>
        <v>757.11421374861141</v>
      </c>
      <c r="M197" s="66"/>
      <c r="N197" s="43"/>
      <c r="O197" s="23"/>
    </row>
    <row r="198" spans="1:17" x14ac:dyDescent="0.2">
      <c r="B198" s="41" t="s">
        <v>57</v>
      </c>
      <c r="C198" s="585">
        <v>17623.95</v>
      </c>
      <c r="D198" s="65"/>
      <c r="E198" s="18">
        <f t="shared" si="16"/>
        <v>758.65760043121588</v>
      </c>
      <c r="F198" s="501"/>
      <c r="G198" s="500"/>
      <c r="H198" s="583">
        <v>34.188499999999998</v>
      </c>
      <c r="I198" s="588">
        <v>-3.7999999999999999E-2</v>
      </c>
      <c r="J198" s="499">
        <f t="shared" si="17"/>
        <v>757.35843743121586</v>
      </c>
      <c r="K198" s="499"/>
      <c r="L198" s="611">
        <f>J198-8.5/12+B159</f>
        <v>756.72268743121583</v>
      </c>
      <c r="M198" s="66"/>
      <c r="N198" s="43"/>
      <c r="O198" s="23"/>
    </row>
    <row r="199" spans="1:17" x14ac:dyDescent="0.2">
      <c r="B199" s="506" t="s">
        <v>719</v>
      </c>
      <c r="C199" s="586">
        <v>17624.5</v>
      </c>
      <c r="D199" s="504"/>
      <c r="E199" s="18">
        <f t="shared" si="16"/>
        <v>758.65432412159089</v>
      </c>
      <c r="F199" s="501"/>
      <c r="G199" s="500"/>
      <c r="H199" s="583">
        <v>36</v>
      </c>
      <c r="I199" s="588">
        <v>-3.7999999999999999E-2</v>
      </c>
      <c r="J199" s="499">
        <f t="shared" si="17"/>
        <v>757.28632412159084</v>
      </c>
      <c r="K199" s="601">
        <f>J199+B$159</f>
        <v>757.35890745492418</v>
      </c>
      <c r="L199" s="610"/>
      <c r="M199" s="66"/>
      <c r="N199" s="43"/>
      <c r="O199" s="23"/>
    </row>
    <row r="200" spans="1:17" ht="13.5" thickBot="1" x14ac:dyDescent="0.25">
      <c r="A200" s="39"/>
      <c r="B200" s="507" t="s">
        <v>714</v>
      </c>
      <c r="C200" s="587">
        <v>17625</v>
      </c>
      <c r="D200" s="67"/>
      <c r="E200" s="68">
        <f t="shared" si="16"/>
        <v>758.65132863636359</v>
      </c>
      <c r="F200" s="502"/>
      <c r="G200" s="503"/>
      <c r="H200" s="584">
        <v>37.666699999999999</v>
      </c>
      <c r="I200" s="589">
        <v>-3.7999999999999999E-2</v>
      </c>
      <c r="J200" s="96">
        <f t="shared" si="17"/>
        <v>757.21999403636357</v>
      </c>
      <c r="K200" s="96"/>
      <c r="L200" s="612"/>
      <c r="M200" s="66"/>
      <c r="N200" s="43"/>
      <c r="O200" s="2"/>
    </row>
    <row r="201" spans="1:17" x14ac:dyDescent="0.2">
      <c r="B201" s="69"/>
      <c r="C201" s="24"/>
      <c r="D201" s="21"/>
      <c r="E201" s="22"/>
      <c r="F201" s="23"/>
      <c r="G201" s="23"/>
      <c r="Q201" s="2"/>
    </row>
    <row r="202" spans="1:17" x14ac:dyDescent="0.2">
      <c r="A202" s="43" t="s">
        <v>130</v>
      </c>
      <c r="B202" s="69"/>
      <c r="C202" s="24"/>
      <c r="D202" s="21"/>
      <c r="E202" s="22"/>
      <c r="F202" s="23"/>
      <c r="G202" s="23"/>
      <c r="Q202" s="2"/>
    </row>
    <row r="203" spans="1:17" x14ac:dyDescent="0.2">
      <c r="A203" s="100">
        <f>0.5</f>
        <v>0.5</v>
      </c>
      <c r="B203" s="97" t="s">
        <v>129</v>
      </c>
      <c r="C203" s="37"/>
      <c r="D203" s="37"/>
      <c r="E203" s="37"/>
      <c r="F203" s="61"/>
      <c r="G203" s="61"/>
      <c r="H203" s="2"/>
      <c r="I203" s="2"/>
      <c r="Q203" s="2"/>
    </row>
    <row r="204" spans="1:17" ht="12.75" customHeight="1" thickBot="1" x14ac:dyDescent="0.25">
      <c r="A204" s="44"/>
      <c r="B204" s="37"/>
      <c r="C204" s="37"/>
      <c r="D204" s="37"/>
      <c r="E204" s="37"/>
      <c r="F204" s="61"/>
      <c r="G204" s="61"/>
      <c r="H204" s="492"/>
      <c r="I204" s="492"/>
      <c r="Q204" s="2"/>
    </row>
    <row r="205" spans="1:17" ht="57" customHeight="1" x14ac:dyDescent="0.2">
      <c r="A205" s="39"/>
      <c r="B205" s="646" t="s">
        <v>16</v>
      </c>
      <c r="C205" s="648" t="s">
        <v>715</v>
      </c>
      <c r="D205" s="648" t="s">
        <v>727</v>
      </c>
      <c r="E205" s="650" t="s">
        <v>12</v>
      </c>
      <c r="F205" s="650" t="s">
        <v>728</v>
      </c>
      <c r="G205" s="642" t="s">
        <v>729</v>
      </c>
      <c r="H205" s="650" t="s">
        <v>720</v>
      </c>
      <c r="I205" s="642" t="s">
        <v>128</v>
      </c>
      <c r="J205" s="648" t="s">
        <v>17</v>
      </c>
      <c r="K205" s="642" t="s">
        <v>828</v>
      </c>
      <c r="L205" s="644" t="s">
        <v>829</v>
      </c>
      <c r="M205" s="462"/>
      <c r="O205" s="609"/>
    </row>
    <row r="206" spans="1:17" ht="57" customHeight="1" thickBot="1" x14ac:dyDescent="0.25">
      <c r="A206" s="39"/>
      <c r="B206" s="647"/>
      <c r="C206" s="649"/>
      <c r="D206" s="649"/>
      <c r="E206" s="651"/>
      <c r="F206" s="651"/>
      <c r="G206" s="643"/>
      <c r="H206" s="651"/>
      <c r="I206" s="643"/>
      <c r="J206" s="649"/>
      <c r="K206" s="643"/>
      <c r="L206" s="645"/>
      <c r="M206" s="462"/>
      <c r="O206" s="609"/>
    </row>
    <row r="207" spans="1:17" ht="13.5" thickTop="1" x14ac:dyDescent="0.2">
      <c r="A207" s="39"/>
      <c r="B207" s="41" t="s">
        <v>713</v>
      </c>
      <c r="C207" s="585">
        <v>17628.13</v>
      </c>
      <c r="D207" s="585">
        <v>17627.59</v>
      </c>
      <c r="E207" s="18">
        <f>IF(F$32="Vertical Tangent",D$45+(D207-D$44)*D$47,(D$48-D$47)/(2*H$47)*(D207-D$44)^2+D$47*(D207-D$44)+D$45)</f>
        <v>758.63555254055768</v>
      </c>
      <c r="F207" s="583">
        <v>0.82</v>
      </c>
      <c r="G207" s="588">
        <v>3.7999999999999999E-2</v>
      </c>
      <c r="H207" s="583">
        <v>25.666699999999999</v>
      </c>
      <c r="I207" s="500"/>
      <c r="J207" s="499">
        <f>E207+(F207*G207)+(D132*$H$58)+($E$58*$D$58)</f>
        <v>758.66543044121374</v>
      </c>
      <c r="K207" s="499"/>
      <c r="L207" s="610"/>
      <c r="M207" s="66"/>
      <c r="N207" s="43"/>
      <c r="O207" s="2"/>
    </row>
    <row r="208" spans="1:17" x14ac:dyDescent="0.2">
      <c r="A208" s="39"/>
      <c r="B208" s="41" t="s">
        <v>716</v>
      </c>
      <c r="C208" s="585">
        <v>17628.63</v>
      </c>
      <c r="D208" s="585">
        <v>17628.13</v>
      </c>
      <c r="E208" s="18">
        <f t="shared" ref="E208:E212" si="18">IF(F$32="Vertical Tangent",D$45+(D208-D$44)*D$47,(D$48-D$47)/(2*H$47)*(D208-D$44)^2+D$47*(D208-D$44)+D$45)</f>
        <v>758.63220851505594</v>
      </c>
      <c r="F208" s="583">
        <v>0.81</v>
      </c>
      <c r="G208" s="588">
        <v>3.7999999999999999E-2</v>
      </c>
      <c r="H208" s="583">
        <v>24</v>
      </c>
      <c r="I208" s="500"/>
      <c r="J208" s="499">
        <f>E208+(F208*G208)+(D133*$H$58)+($E$58*$D$58)</f>
        <v>758.6604917952809</v>
      </c>
      <c r="K208" s="601">
        <f>J208+B$160</f>
        <v>758.76240846194753</v>
      </c>
      <c r="L208" s="610"/>
      <c r="M208" s="66"/>
      <c r="N208" s="43"/>
      <c r="O208" s="2"/>
    </row>
    <row r="209" spans="1:15" x14ac:dyDescent="0.2">
      <c r="B209" s="41" t="s">
        <v>51</v>
      </c>
      <c r="C209" s="585">
        <v>17629.259999999998</v>
      </c>
      <c r="D209" s="585">
        <v>17628.8</v>
      </c>
      <c r="E209" s="18">
        <f t="shared" si="18"/>
        <v>758.6280331612727</v>
      </c>
      <c r="F209" s="583">
        <v>0.8</v>
      </c>
      <c r="G209" s="588">
        <v>3.7999999999999999E-2</v>
      </c>
      <c r="H209" s="583">
        <v>21.916667</v>
      </c>
      <c r="I209" s="500"/>
      <c r="J209" s="499">
        <f>E209+(F209*G209)+(D134*$H$58)+((H209-$E$58)*$D$58)</f>
        <v>758.73776273244425</v>
      </c>
      <c r="K209" s="499"/>
      <c r="L209" s="611">
        <f>J209-8.5/12+B160</f>
        <v>758.13134606577751</v>
      </c>
      <c r="M209" s="66"/>
      <c r="N209" s="43"/>
      <c r="O209" s="23"/>
    </row>
    <row r="210" spans="1:15" x14ac:dyDescent="0.2">
      <c r="B210" s="41" t="s">
        <v>52</v>
      </c>
      <c r="C210" s="585">
        <v>17632.13</v>
      </c>
      <c r="D210" s="585">
        <v>17631.88</v>
      </c>
      <c r="E210" s="18">
        <f t="shared" si="18"/>
        <v>758.6084645151127</v>
      </c>
      <c r="F210" s="583">
        <v>0.74</v>
      </c>
      <c r="G210" s="588">
        <v>3.7999999999999999E-2</v>
      </c>
      <c r="H210" s="583">
        <v>12.416667</v>
      </c>
      <c r="I210" s="500"/>
      <c r="J210" s="499">
        <f>E210+(F210*G210)+(D135*$H$58)+((H210-$E$58)*$D$58)</f>
        <v>759.08898625123265</v>
      </c>
      <c r="K210" s="499"/>
      <c r="L210" s="611">
        <f>J210-8.5/12+C160</f>
        <v>758.49798625123265</v>
      </c>
      <c r="M210" s="66"/>
      <c r="N210" s="43"/>
      <c r="O210" s="23"/>
    </row>
    <row r="211" spans="1:15" x14ac:dyDescent="0.2">
      <c r="B211" s="41" t="s">
        <v>717</v>
      </c>
      <c r="C211" s="585">
        <v>17632.259999999998</v>
      </c>
      <c r="D211" s="585">
        <v>17632.02</v>
      </c>
      <c r="E211" s="18">
        <f t="shared" si="18"/>
        <v>758.60756041503089</v>
      </c>
      <c r="F211" s="583">
        <v>0.73</v>
      </c>
      <c r="G211" s="588">
        <v>3.7999999999999999E-2</v>
      </c>
      <c r="H211" s="583">
        <v>12</v>
      </c>
      <c r="I211" s="500"/>
      <c r="J211" s="499">
        <f>E211+(F211*G211)+(D136*H211)</f>
        <v>759.10405392955761</v>
      </c>
      <c r="K211" s="601">
        <f>J211+C$160</f>
        <v>759.22138726289097</v>
      </c>
      <c r="L211" s="610"/>
      <c r="M211" s="66"/>
      <c r="N211" s="43"/>
      <c r="O211" s="23"/>
    </row>
    <row r="212" spans="1:15" x14ac:dyDescent="0.2">
      <c r="B212" s="41" t="s">
        <v>53</v>
      </c>
      <c r="C212" s="585">
        <v>17635.02</v>
      </c>
      <c r="D212" s="585">
        <v>17634.96</v>
      </c>
      <c r="E212" s="18">
        <f t="shared" si="18"/>
        <v>758.5882807190327</v>
      </c>
      <c r="F212" s="583">
        <v>0.68</v>
      </c>
      <c r="G212" s="500">
        <f>I132</f>
        <v>3.7664365464927824E-2</v>
      </c>
      <c r="H212" s="583">
        <v>2.9166669999999999</v>
      </c>
      <c r="I212" s="500"/>
      <c r="J212" s="499">
        <f>E212+(F212*G212)+(H212*D137)</f>
        <v>758.7262183360624</v>
      </c>
      <c r="K212" s="499"/>
      <c r="L212" s="611">
        <f>J212-8.5/12+C160</f>
        <v>758.13521833606239</v>
      </c>
      <c r="M212" s="66"/>
      <c r="N212" s="43"/>
      <c r="O212" s="23"/>
    </row>
    <row r="213" spans="1:15" x14ac:dyDescent="0.2">
      <c r="B213" s="41" t="s">
        <v>718</v>
      </c>
      <c r="C213" s="585">
        <v>17636.11</v>
      </c>
      <c r="D213" s="65"/>
      <c r="E213" s="18">
        <f t="shared" ref="E213:E219" si="19">IF(F$32="Vertical Tangent",D$45+(C213-D$44)*D$47,(D$48-D$47)/(2*H$47)*(C213-D$44)^2+D$47*(C213-D$44)+D$45)</f>
        <v>758.58058684104856</v>
      </c>
      <c r="F213" s="501"/>
      <c r="G213" s="500">
        <v>0</v>
      </c>
      <c r="H213" s="501"/>
      <c r="I213" s="500">
        <v>0</v>
      </c>
      <c r="J213" s="499">
        <f>E213</f>
        <v>758.58058684104856</v>
      </c>
      <c r="K213" s="601">
        <f>J213+C$160</f>
        <v>758.69792017438192</v>
      </c>
      <c r="L213" s="610"/>
      <c r="M213" s="66"/>
      <c r="N213" s="43"/>
      <c r="O213" s="23"/>
    </row>
    <row r="214" spans="1:15" x14ac:dyDescent="0.2">
      <c r="B214" s="41" t="s">
        <v>54</v>
      </c>
      <c r="C214" s="585">
        <v>17637.919999999998</v>
      </c>
      <c r="D214" s="65"/>
      <c r="E214" s="18">
        <f t="shared" si="19"/>
        <v>758.56830363813094</v>
      </c>
      <c r="F214" s="501"/>
      <c r="G214" s="500"/>
      <c r="H214" s="583">
        <v>5.9642999999999997</v>
      </c>
      <c r="I214" s="500">
        <f>-I133</f>
        <v>-3.7109349697434596E-2</v>
      </c>
      <c r="J214" s="499">
        <f t="shared" ref="J214:J219" si="20">E214+(I214*H214)</f>
        <v>758.3469723437305</v>
      </c>
      <c r="K214" s="499"/>
      <c r="L214" s="611">
        <f>J214-8.5/12+C160</f>
        <v>757.75597234373049</v>
      </c>
      <c r="M214" s="66"/>
      <c r="N214" s="43"/>
      <c r="O214" s="23"/>
    </row>
    <row r="215" spans="1:15" x14ac:dyDescent="0.2">
      <c r="B215" s="41" t="s">
        <v>55</v>
      </c>
      <c r="C215" s="585">
        <v>17640.84</v>
      </c>
      <c r="D215" s="65"/>
      <c r="E215" s="18">
        <f t="shared" si="19"/>
        <v>758.54803983252361</v>
      </c>
      <c r="F215" s="501"/>
      <c r="G215" s="500"/>
      <c r="H215" s="583">
        <v>15.5182</v>
      </c>
      <c r="I215" s="500">
        <f t="shared" ref="I215:I219" si="21">-I134</f>
        <v>-3.6561834143015094E-2</v>
      </c>
      <c r="J215" s="499">
        <f t="shared" si="20"/>
        <v>757.98066597792547</v>
      </c>
      <c r="K215" s="499"/>
      <c r="L215" s="611">
        <f>J215-8.5/12+C160</f>
        <v>757.38966597792546</v>
      </c>
      <c r="M215" s="66"/>
      <c r="N215" s="43"/>
      <c r="O215" s="23"/>
    </row>
    <row r="216" spans="1:15" x14ac:dyDescent="0.2">
      <c r="B216" s="41" t="s">
        <v>56</v>
      </c>
      <c r="C216" s="585">
        <v>17643.77</v>
      </c>
      <c r="D216" s="65"/>
      <c r="E216" s="18">
        <f t="shared" si="19"/>
        <v>758.52715088856496</v>
      </c>
      <c r="F216" s="501"/>
      <c r="G216" s="500"/>
      <c r="H216" s="583">
        <v>25.069700000000001</v>
      </c>
      <c r="I216" s="500">
        <f t="shared" si="21"/>
        <v>-3.6012443535327329E-2</v>
      </c>
      <c r="J216" s="499">
        <f t="shared" si="20"/>
        <v>757.62432973286741</v>
      </c>
      <c r="K216" s="499"/>
      <c r="L216" s="611">
        <f>J216-8.5/12+C160</f>
        <v>757.0333297328674</v>
      </c>
      <c r="M216" s="66"/>
      <c r="N216" s="43"/>
      <c r="O216" s="23"/>
    </row>
    <row r="217" spans="1:15" x14ac:dyDescent="0.2">
      <c r="B217" s="41" t="s">
        <v>57</v>
      </c>
      <c r="C217" s="585">
        <v>17646.72</v>
      </c>
      <c r="D217" s="65"/>
      <c r="E217" s="18">
        <f t="shared" si="19"/>
        <v>758.50555695333082</v>
      </c>
      <c r="F217" s="501"/>
      <c r="G217" s="500"/>
      <c r="H217" s="583">
        <v>34.618899999999996</v>
      </c>
      <c r="I217" s="500">
        <f t="shared" si="21"/>
        <v>-3.5459302821102365E-2</v>
      </c>
      <c r="J217" s="499">
        <f t="shared" si="20"/>
        <v>757.27799489489735</v>
      </c>
      <c r="K217" s="499"/>
      <c r="L217" s="611">
        <f>J217-8.5/12+B160</f>
        <v>756.6715782282306</v>
      </c>
      <c r="M217" s="66"/>
      <c r="N217" s="43"/>
      <c r="O217" s="23"/>
    </row>
    <row r="218" spans="1:15" x14ac:dyDescent="0.2">
      <c r="B218" s="506" t="s">
        <v>719</v>
      </c>
      <c r="C218" s="586">
        <v>17647.150000000001</v>
      </c>
      <c r="D218" s="504"/>
      <c r="E218" s="18">
        <f t="shared" si="19"/>
        <v>758.5023622395795</v>
      </c>
      <c r="F218" s="501"/>
      <c r="G218" s="500"/>
      <c r="H218" s="583">
        <v>36</v>
      </c>
      <c r="I218" s="500">
        <f t="shared" si="21"/>
        <v>-3.5378675530554286E-2</v>
      </c>
      <c r="J218" s="499">
        <f t="shared" si="20"/>
        <v>757.22872992047951</v>
      </c>
      <c r="K218" s="601">
        <f>J218+B$160</f>
        <v>757.33064658714613</v>
      </c>
      <c r="L218" s="610"/>
      <c r="M218" s="66"/>
      <c r="N218" s="43"/>
      <c r="O218" s="23"/>
    </row>
    <row r="219" spans="1:15" ht="13.5" thickBot="1" x14ac:dyDescent="0.25">
      <c r="A219" s="39"/>
      <c r="B219" s="507" t="s">
        <v>714</v>
      </c>
      <c r="C219" s="587">
        <v>17647.669999999998</v>
      </c>
      <c r="D219" s="67"/>
      <c r="E219" s="68">
        <f t="shared" si="19"/>
        <v>758.49848284798315</v>
      </c>
      <c r="F219" s="502"/>
      <c r="G219" s="503"/>
      <c r="H219" s="584">
        <v>37.666699999999999</v>
      </c>
      <c r="I219" s="503">
        <f t="shared" si="21"/>
        <v>-3.5281172760589827E-2</v>
      </c>
      <c r="J219" s="96">
        <f t="shared" si="20"/>
        <v>757.16955749796182</v>
      </c>
      <c r="K219" s="96"/>
      <c r="L219" s="612"/>
      <c r="M219" s="66"/>
      <c r="N219" s="43"/>
      <c r="O219" s="2"/>
    </row>
    <row r="220" spans="1:15" x14ac:dyDescent="0.2">
      <c r="B220" s="69"/>
      <c r="C220" s="24"/>
      <c r="D220" s="21"/>
      <c r="E220" s="22"/>
      <c r="F220" s="23"/>
      <c r="G220" s="23"/>
      <c r="O220" s="2"/>
    </row>
    <row r="221" spans="1:15" x14ac:dyDescent="0.2">
      <c r="A221" s="43" t="s">
        <v>130</v>
      </c>
      <c r="B221" s="69"/>
      <c r="C221" s="24"/>
      <c r="D221" s="21"/>
      <c r="E221" s="22"/>
      <c r="F221" s="23"/>
      <c r="G221" s="23"/>
      <c r="O221" s="2"/>
    </row>
    <row r="222" spans="1:15" x14ac:dyDescent="0.2">
      <c r="A222" s="100">
        <v>0.75</v>
      </c>
      <c r="B222" s="97" t="s">
        <v>129</v>
      </c>
      <c r="C222" s="37"/>
      <c r="D222" s="37"/>
      <c r="E222" s="37"/>
      <c r="F222" s="61"/>
      <c r="G222" s="61"/>
      <c r="H222" s="2"/>
      <c r="I222" s="2"/>
      <c r="O222" s="2"/>
    </row>
    <row r="223" spans="1:15" ht="12.75" customHeight="1" thickBot="1" x14ac:dyDescent="0.25">
      <c r="A223" s="44"/>
      <c r="B223" s="37"/>
      <c r="C223" s="37"/>
      <c r="D223" s="37"/>
      <c r="E223" s="37"/>
      <c r="F223" s="61"/>
      <c r="G223" s="61"/>
      <c r="H223" s="492"/>
      <c r="I223" s="492"/>
      <c r="O223" s="2"/>
    </row>
    <row r="224" spans="1:15" ht="57" customHeight="1" x14ac:dyDescent="0.2">
      <c r="A224" s="39"/>
      <c r="B224" s="646" t="s">
        <v>16</v>
      </c>
      <c r="C224" s="648" t="s">
        <v>715</v>
      </c>
      <c r="D224" s="648" t="s">
        <v>727</v>
      </c>
      <c r="E224" s="650" t="s">
        <v>12</v>
      </c>
      <c r="F224" s="650" t="s">
        <v>728</v>
      </c>
      <c r="G224" s="642" t="s">
        <v>729</v>
      </c>
      <c r="H224" s="650" t="s">
        <v>720</v>
      </c>
      <c r="I224" s="642" t="s">
        <v>128</v>
      </c>
      <c r="J224" s="648" t="s">
        <v>17</v>
      </c>
      <c r="K224" s="642" t="s">
        <v>828</v>
      </c>
      <c r="L224" s="644" t="s">
        <v>829</v>
      </c>
      <c r="M224" s="462"/>
      <c r="O224" s="609"/>
    </row>
    <row r="225" spans="1:17" ht="57" customHeight="1" thickBot="1" x14ac:dyDescent="0.25">
      <c r="A225" s="39"/>
      <c r="B225" s="647"/>
      <c r="C225" s="649"/>
      <c r="D225" s="649"/>
      <c r="E225" s="651"/>
      <c r="F225" s="651"/>
      <c r="G225" s="643"/>
      <c r="H225" s="651"/>
      <c r="I225" s="643"/>
      <c r="J225" s="649"/>
      <c r="K225" s="643"/>
      <c r="L225" s="645"/>
      <c r="M225" s="462"/>
      <c r="O225" s="609"/>
    </row>
    <row r="226" spans="1:17" ht="13.5" thickTop="1" x14ac:dyDescent="0.2">
      <c r="A226" s="39"/>
      <c r="B226" s="41" t="s">
        <v>713</v>
      </c>
      <c r="C226" s="585">
        <v>17650.52</v>
      </c>
      <c r="D226" s="585">
        <v>17650.14</v>
      </c>
      <c r="E226" s="18">
        <f>IF(F$32="Vertical Tangent",D$45+(D226-D$44)*D$47,(D$48-D$47)/(2*H$47)*(D226-D$44)^2+D$47*(D226-D$44)+D$45)</f>
        <v>758.47981628633272</v>
      </c>
      <c r="F226" s="583">
        <v>0.42</v>
      </c>
      <c r="G226" s="500">
        <f>I139</f>
        <v>3.4818034603255603E-2</v>
      </c>
      <c r="H226" s="583">
        <v>25.666699999999999</v>
      </c>
      <c r="I226" s="500"/>
      <c r="J226" s="499">
        <f>E226+(F226*G226)+(D138*$H$58)+($E$58*$D$58)</f>
        <v>758.44241770756526</v>
      </c>
      <c r="K226" s="499"/>
      <c r="L226" s="610"/>
      <c r="M226" s="66"/>
      <c r="N226" s="43"/>
      <c r="O226" s="2"/>
    </row>
    <row r="227" spans="1:17" x14ac:dyDescent="0.2">
      <c r="A227" s="39"/>
      <c r="B227" s="41" t="s">
        <v>716</v>
      </c>
      <c r="C227" s="585">
        <v>17651.04</v>
      </c>
      <c r="D227" s="585">
        <v>17650.68</v>
      </c>
      <c r="E227" s="18">
        <f t="shared" ref="E227:E231" si="22">IF(F$32="Vertical Tangent",D$45+(D227-D$44)*D$47,(D$48-D$47)/(2*H$47)*(D227-D$44)^2+D$47*(D227-D$44)+D$45)</f>
        <v>758.47568263773087</v>
      </c>
      <c r="F227" s="583">
        <v>0.41</v>
      </c>
      <c r="G227" s="500">
        <f t="shared" ref="G227:G231" si="23">I140</f>
        <v>3.4716781726753264E-2</v>
      </c>
      <c r="H227" s="583">
        <v>24</v>
      </c>
      <c r="I227" s="500"/>
      <c r="J227" s="499">
        <f>E227+(F227*G227)+(D139*$H$58)+($E$58*$D$58)</f>
        <v>758.43667894624059</v>
      </c>
      <c r="K227" s="601">
        <f>J227+B$161</f>
        <v>758.50926227957393</v>
      </c>
      <c r="L227" s="610"/>
      <c r="M227" s="66"/>
      <c r="N227" s="43"/>
      <c r="O227" s="2"/>
    </row>
    <row r="228" spans="1:17" x14ac:dyDescent="0.2">
      <c r="B228" s="41" t="s">
        <v>51</v>
      </c>
      <c r="C228" s="585">
        <v>17651.68</v>
      </c>
      <c r="D228" s="585">
        <v>17651.36</v>
      </c>
      <c r="E228" s="18">
        <f t="shared" si="22"/>
        <v>758.47045040455998</v>
      </c>
      <c r="F228" s="583">
        <v>0.4</v>
      </c>
      <c r="G228" s="500">
        <f t="shared" si="23"/>
        <v>3.4589278104491215E-2</v>
      </c>
      <c r="H228" s="583">
        <v>21.916667</v>
      </c>
      <c r="I228" s="500"/>
      <c r="J228" s="499">
        <f>E228+(F228*G228)+(D140*$H$58)+((H228-$E$58)*$D$58)</f>
        <v>758.51285133655506</v>
      </c>
      <c r="K228" s="499"/>
      <c r="L228" s="611">
        <f>J228-8.5/12+B161</f>
        <v>757.87710133655503</v>
      </c>
      <c r="M228" s="66"/>
      <c r="N228" s="43"/>
      <c r="O228" s="23"/>
    </row>
    <row r="229" spans="1:17" x14ac:dyDescent="0.2">
      <c r="B229" s="41" t="s">
        <v>52</v>
      </c>
      <c r="C229" s="585">
        <v>17654.61</v>
      </c>
      <c r="D229" s="585">
        <v>17654.439999999999</v>
      </c>
      <c r="E229" s="18">
        <f t="shared" si="22"/>
        <v>758.44637598496001</v>
      </c>
      <c r="F229" s="583">
        <v>0.35</v>
      </c>
      <c r="G229" s="500">
        <f t="shared" si="23"/>
        <v>3.4011761697775485E-2</v>
      </c>
      <c r="H229" s="583">
        <v>12.416667</v>
      </c>
      <c r="I229" s="500"/>
      <c r="J229" s="499">
        <f>E229+(F229*G229)+(D141*$H$58)+((H229-$E$58)*$D$58)</f>
        <v>758.85991293418169</v>
      </c>
      <c r="K229" s="499"/>
      <c r="L229" s="611">
        <f>J229-8.5/12+C161</f>
        <v>758.23524626751498</v>
      </c>
      <c r="M229" s="66"/>
      <c r="N229" s="43"/>
      <c r="O229" s="23"/>
    </row>
    <row r="230" spans="1:17" x14ac:dyDescent="0.2">
      <c r="B230" s="41" t="s">
        <v>717</v>
      </c>
      <c r="C230" s="585">
        <v>17654.740000000002</v>
      </c>
      <c r="D230" s="585">
        <v>17654.57</v>
      </c>
      <c r="E230" s="18">
        <f t="shared" si="22"/>
        <v>758.44534632685588</v>
      </c>
      <c r="F230" s="583">
        <v>0.35</v>
      </c>
      <c r="G230" s="500">
        <f t="shared" si="23"/>
        <v>3.3987386005284025E-2</v>
      </c>
      <c r="H230" s="583">
        <v>12</v>
      </c>
      <c r="I230" s="500"/>
      <c r="J230" s="499">
        <f>E230+(F230*G230)+(D142*H230)</f>
        <v>758.8752488237875</v>
      </c>
      <c r="K230" s="601">
        <f>J230+C$161</f>
        <v>758.95891549045416</v>
      </c>
      <c r="L230" s="610"/>
      <c r="M230" s="66"/>
      <c r="N230" s="43"/>
      <c r="O230" s="23"/>
    </row>
    <row r="231" spans="1:17" x14ac:dyDescent="0.2">
      <c r="B231" s="41" t="s">
        <v>53</v>
      </c>
      <c r="C231" s="585">
        <v>17657.560000000001</v>
      </c>
      <c r="D231" s="585">
        <v>17657.509999999998</v>
      </c>
      <c r="E231" s="18">
        <f t="shared" si="22"/>
        <v>758.42176757175775</v>
      </c>
      <c r="F231" s="583">
        <v>0.31</v>
      </c>
      <c r="G231" s="500">
        <f t="shared" si="23"/>
        <v>3.3436120344328003E-2</v>
      </c>
      <c r="H231" s="583">
        <v>2.9166669999999999</v>
      </c>
      <c r="I231" s="500"/>
      <c r="J231" s="499">
        <f>E231+(F231*G231)+(D143*H231)</f>
        <v>758.53212331610962</v>
      </c>
      <c r="K231" s="499"/>
      <c r="L231" s="611">
        <f>J231-8.5/12+C161</f>
        <v>757.90745664944291</v>
      </c>
      <c r="M231" s="66"/>
      <c r="N231" s="43"/>
      <c r="O231" s="23"/>
    </row>
    <row r="232" spans="1:17" x14ac:dyDescent="0.2">
      <c r="B232" s="41" t="s">
        <v>718</v>
      </c>
      <c r="C232" s="585">
        <v>17658.560000000001</v>
      </c>
      <c r="D232" s="65"/>
      <c r="E232" s="18">
        <f t="shared" ref="E232:E238" si="24">IF(F$32="Vertical Tangent",D$45+(C232-D$44)*D$47,(D$48-D$47)/(2*H$47)*(C232-D$44)^2+D$47*(C232-D$44)+D$45)</f>
        <v>758.41321075277813</v>
      </c>
      <c r="F232" s="501"/>
      <c r="G232" s="500">
        <v>0</v>
      </c>
      <c r="H232" s="501"/>
      <c r="I232" s="500">
        <v>0</v>
      </c>
      <c r="J232" s="499">
        <f>E232</f>
        <v>758.41321075277813</v>
      </c>
      <c r="K232" s="601">
        <f>J232+C$161</f>
        <v>758.49687741944479</v>
      </c>
      <c r="L232" s="610"/>
      <c r="M232" s="66"/>
      <c r="N232" s="43"/>
      <c r="O232" s="23"/>
    </row>
    <row r="233" spans="1:17" x14ac:dyDescent="0.2">
      <c r="B233" s="41" t="s">
        <v>54</v>
      </c>
      <c r="C233" s="585">
        <v>17660.52</v>
      </c>
      <c r="D233" s="65"/>
      <c r="E233" s="18">
        <f t="shared" si="24"/>
        <v>758.39704674289453</v>
      </c>
      <c r="F233" s="501"/>
      <c r="G233" s="500"/>
      <c r="H233" s="583">
        <v>6.3094999999999999</v>
      </c>
      <c r="I233" s="500">
        <f t="shared" ref="I233:I238" si="25">-I145</f>
        <v>-3.287172931049144E-2</v>
      </c>
      <c r="J233" s="499">
        <f t="shared" ref="J233:J238" si="26">E233+(I233*H233)</f>
        <v>758.18964256680999</v>
      </c>
      <c r="K233" s="499"/>
      <c r="L233" s="611">
        <f>J233-8.5/12+C161</f>
        <v>757.56497590014328</v>
      </c>
      <c r="M233" s="66"/>
      <c r="N233" s="43"/>
      <c r="O233" s="23"/>
    </row>
    <row r="234" spans="1:17" x14ac:dyDescent="0.2">
      <c r="B234" s="41" t="s">
        <v>55</v>
      </c>
      <c r="C234" s="585">
        <v>17663.5</v>
      </c>
      <c r="D234" s="65"/>
      <c r="E234" s="18">
        <f t="shared" si="24"/>
        <v>758.37199354886366</v>
      </c>
      <c r="F234" s="501"/>
      <c r="G234" s="500"/>
      <c r="H234" s="583">
        <v>15.8452</v>
      </c>
      <c r="I234" s="500">
        <f t="shared" si="25"/>
        <v>-3.231296343646102E-2</v>
      </c>
      <c r="J234" s="499">
        <f t="shared" si="26"/>
        <v>757.85998818062023</v>
      </c>
      <c r="K234" s="499"/>
      <c r="L234" s="611">
        <f>J234-8.5/12+C161</f>
        <v>757.23532151395352</v>
      </c>
      <c r="M234" s="66"/>
      <c r="N234" s="43"/>
      <c r="O234" s="23"/>
    </row>
    <row r="235" spans="1:17" x14ac:dyDescent="0.2">
      <c r="B235" s="41" t="s">
        <v>56</v>
      </c>
      <c r="C235" s="585">
        <v>17666.490000000002</v>
      </c>
      <c r="D235" s="65"/>
      <c r="E235" s="18">
        <f t="shared" si="24"/>
        <v>758.34627752830318</v>
      </c>
      <c r="F235" s="501"/>
      <c r="G235" s="500"/>
      <c r="H235" s="583">
        <v>25.378599999999999</v>
      </c>
      <c r="I235" s="500">
        <f t="shared" si="25"/>
        <v>-3.1752322509161657E-2</v>
      </c>
      <c r="J235" s="499">
        <f t="shared" si="26"/>
        <v>757.54044803627221</v>
      </c>
      <c r="K235" s="499"/>
      <c r="L235" s="611">
        <f>J235-8.5/12+C161</f>
        <v>756.9157813696055</v>
      </c>
      <c r="M235" s="66"/>
      <c r="N235" s="43"/>
      <c r="O235" s="23"/>
    </row>
    <row r="236" spans="1:17" x14ac:dyDescent="0.2">
      <c r="B236" s="41" t="s">
        <v>57</v>
      </c>
      <c r="C236" s="585">
        <v>17669.5</v>
      </c>
      <c r="D236" s="65"/>
      <c r="E236" s="18">
        <f t="shared" si="24"/>
        <v>758.31980393977267</v>
      </c>
      <c r="F236" s="501"/>
      <c r="G236" s="500"/>
      <c r="H236" s="583">
        <v>34.909500000000001</v>
      </c>
      <c r="I236" s="500">
        <f t="shared" si="25"/>
        <v>-3.1187931475325777E-2</v>
      </c>
      <c r="J236" s="499">
        <f t="shared" si="26"/>
        <v>757.23104884593477</v>
      </c>
      <c r="K236" s="499"/>
      <c r="L236" s="611">
        <f>J236-8.5/12+B161</f>
        <v>756.59529884593474</v>
      </c>
      <c r="M236" s="66"/>
      <c r="N236" s="43"/>
      <c r="O236" s="23"/>
    </row>
    <row r="237" spans="1:17" x14ac:dyDescent="0.2">
      <c r="B237" s="506" t="s">
        <v>719</v>
      </c>
      <c r="C237" s="586">
        <v>17669.84</v>
      </c>
      <c r="D237" s="504"/>
      <c r="E237" s="18">
        <f t="shared" si="24"/>
        <v>758.31677663815992</v>
      </c>
      <c r="F237" s="501"/>
      <c r="G237" s="500"/>
      <c r="H237" s="583">
        <v>36</v>
      </c>
      <c r="I237" s="500">
        <f t="shared" si="25"/>
        <v>-3.1124179664194753E-2</v>
      </c>
      <c r="J237" s="499">
        <f t="shared" si="26"/>
        <v>757.19630617024893</v>
      </c>
      <c r="K237" s="601">
        <f>J237+B$161</f>
        <v>757.26888950358227</v>
      </c>
      <c r="L237" s="610"/>
      <c r="M237" s="66"/>
      <c r="N237" s="43"/>
      <c r="O237" s="23"/>
    </row>
    <row r="238" spans="1:17" ht="13.5" thickBot="1" x14ac:dyDescent="0.25">
      <c r="A238" s="39"/>
      <c r="B238" s="507" t="s">
        <v>714</v>
      </c>
      <c r="C238" s="587">
        <v>17670.37</v>
      </c>
      <c r="D238" s="67"/>
      <c r="E238" s="68">
        <f t="shared" si="24"/>
        <v>758.31204265905592</v>
      </c>
      <c r="F238" s="502"/>
      <c r="G238" s="503"/>
      <c r="H238" s="584">
        <v>37.666699999999999</v>
      </c>
      <c r="I238" s="503">
        <f t="shared" si="25"/>
        <v>-3.1024801840961357E-2</v>
      </c>
      <c r="J238" s="96">
        <f t="shared" si="26"/>
        <v>757.143440755553</v>
      </c>
      <c r="K238" s="96"/>
      <c r="L238" s="612"/>
      <c r="M238" s="66"/>
      <c r="N238" s="43"/>
      <c r="O238" s="2"/>
    </row>
    <row r="239" spans="1:17" x14ac:dyDescent="0.2">
      <c r="B239" s="69"/>
      <c r="C239" s="24"/>
      <c r="D239" s="21"/>
      <c r="E239" s="22"/>
      <c r="F239" s="23"/>
      <c r="G239" s="23"/>
      <c r="Q239" s="2"/>
    </row>
    <row r="240" spans="1:17" x14ac:dyDescent="0.2">
      <c r="A240" s="42" t="s">
        <v>48</v>
      </c>
      <c r="C240" s="37"/>
      <c r="D240" s="37"/>
      <c r="E240" s="37"/>
      <c r="F240" s="23"/>
      <c r="G240" s="61"/>
      <c r="H240" s="2"/>
      <c r="I240" s="95"/>
      <c r="Q240" s="2"/>
    </row>
    <row r="241" spans="1:17" ht="12.75" customHeight="1" thickBot="1" x14ac:dyDescent="0.25">
      <c r="A241" s="44"/>
      <c r="B241" s="37"/>
      <c r="C241" s="37"/>
      <c r="D241" s="37"/>
      <c r="E241" s="37"/>
      <c r="F241" s="61"/>
      <c r="G241" s="61"/>
      <c r="H241" s="492"/>
      <c r="I241" s="492"/>
      <c r="Q241" s="2"/>
    </row>
    <row r="242" spans="1:17" ht="57" customHeight="1" x14ac:dyDescent="0.2">
      <c r="A242" s="39"/>
      <c r="B242" s="646" t="s">
        <v>16</v>
      </c>
      <c r="C242" s="648" t="s">
        <v>715</v>
      </c>
      <c r="D242" s="648" t="s">
        <v>727</v>
      </c>
      <c r="E242" s="650" t="s">
        <v>12</v>
      </c>
      <c r="F242" s="650" t="s">
        <v>728</v>
      </c>
      <c r="G242" s="642" t="s">
        <v>729</v>
      </c>
      <c r="H242" s="650" t="s">
        <v>720</v>
      </c>
      <c r="I242" s="642" t="s">
        <v>128</v>
      </c>
      <c r="J242" s="648" t="s">
        <v>17</v>
      </c>
      <c r="K242" s="642" t="s">
        <v>828</v>
      </c>
      <c r="L242" s="642" t="s">
        <v>829</v>
      </c>
      <c r="M242" s="648" t="s">
        <v>49</v>
      </c>
      <c r="N242" s="652" t="s">
        <v>50</v>
      </c>
      <c r="O242" s="462"/>
      <c r="Q242" s="609"/>
    </row>
    <row r="243" spans="1:17" ht="57" customHeight="1" thickBot="1" x14ac:dyDescent="0.25">
      <c r="A243" s="39"/>
      <c r="B243" s="647"/>
      <c r="C243" s="649"/>
      <c r="D243" s="649"/>
      <c r="E243" s="651"/>
      <c r="F243" s="651"/>
      <c r="G243" s="643"/>
      <c r="H243" s="651"/>
      <c r="I243" s="643"/>
      <c r="J243" s="649"/>
      <c r="K243" s="643"/>
      <c r="L243" s="643"/>
      <c r="M243" s="649"/>
      <c r="N243" s="653"/>
      <c r="O243" s="462"/>
      <c r="Q243" s="609"/>
    </row>
    <row r="244" spans="1:17" ht="13.5" thickTop="1" x14ac:dyDescent="0.2">
      <c r="A244" s="39"/>
      <c r="B244" s="41" t="s">
        <v>713</v>
      </c>
      <c r="C244" s="585">
        <v>17672.93</v>
      </c>
      <c r="D244" s="585">
        <v>17672.7</v>
      </c>
      <c r="E244" s="18">
        <f>IF(F$32="Vertical Tangent",D$45+(D244-D$44)*D$47,(D$48-D$47)/(2*H$47)*(D244-D$44)^2+D$47*(D244-D$44)+D$45)</f>
        <v>758.29101495650002</v>
      </c>
      <c r="F244" s="583">
        <v>0.15</v>
      </c>
      <c r="G244" s="500">
        <f>I151</f>
        <v>3.0587914429386846E-2</v>
      </c>
      <c r="H244" s="583">
        <v>25.666699999999999</v>
      </c>
      <c r="I244" s="500"/>
      <c r="J244" s="499">
        <f>E244+(F244*G244)+(D144*$H$58)+($E$58*$D$58)</f>
        <v>758.1928034981172</v>
      </c>
      <c r="K244" s="499"/>
      <c r="L244" s="499"/>
      <c r="M244" s="19"/>
      <c r="N244" s="20"/>
      <c r="O244" s="66" t="str">
        <f>IF(N244=MIN(N$169:N$181),FLOOR(N244,0.25)," ")</f>
        <v xml:space="preserve"> </v>
      </c>
      <c r="P244" s="43" t="str">
        <f>IF(O244=" "," ","(Controls)")</f>
        <v xml:space="preserve"> </v>
      </c>
      <c r="Q244" s="2"/>
    </row>
    <row r="245" spans="1:17" x14ac:dyDescent="0.2">
      <c r="A245" s="39"/>
      <c r="B245" s="41" t="s">
        <v>716</v>
      </c>
      <c r="C245" s="585">
        <v>17673.45</v>
      </c>
      <c r="D245" s="585">
        <v>17673.240000000002</v>
      </c>
      <c r="E245" s="18">
        <f t="shared" ref="E245:E249" si="27">IF(F$32="Vertical Tangent",D$45+(D245-D$44)*D$47,(D$48-D$47)/(2*H$47)*(D245-D$44)^2+D$47*(D245-D$44)+D$45)</f>
        <v>758.28609133463272</v>
      </c>
      <c r="F245" s="583">
        <v>0.14000000000000001</v>
      </c>
      <c r="G245" s="500">
        <f t="shared" ref="G245:G249" si="28">I152</f>
        <v>3.0486661552884507E-2</v>
      </c>
      <c r="H245" s="583">
        <v>24</v>
      </c>
      <c r="I245" s="500"/>
      <c r="J245" s="499">
        <f>E245+(F245*G245)+(D145*$H$58)+($E$58*$D$58)</f>
        <v>758.18634440300559</v>
      </c>
      <c r="K245" s="601">
        <f>J245</f>
        <v>758.18634440300559</v>
      </c>
      <c r="L245" s="499"/>
      <c r="M245" s="19"/>
      <c r="N245" s="20"/>
      <c r="O245" s="66"/>
      <c r="P245" s="43"/>
      <c r="Q245" s="2"/>
    </row>
    <row r="246" spans="1:17" x14ac:dyDescent="0.2">
      <c r="B246" s="41" t="s">
        <v>51</v>
      </c>
      <c r="C246" s="585">
        <v>17674.099999999999</v>
      </c>
      <c r="D246" s="585">
        <v>17673.919999999998</v>
      </c>
      <c r="E246" s="18">
        <f t="shared" si="27"/>
        <v>758.27986432031275</v>
      </c>
      <c r="F246" s="583">
        <v>0.14000000000000001</v>
      </c>
      <c r="G246" s="500">
        <f t="shared" si="28"/>
        <v>3.0359157930623142E-2</v>
      </c>
      <c r="H246" s="583">
        <v>21.916667</v>
      </c>
      <c r="I246" s="500"/>
      <c r="J246" s="499">
        <f>E246+(F246*G246)+(D146*$H$58)+((H246-$E$58)*$D$58)</f>
        <v>758.26190233092996</v>
      </c>
      <c r="K246" s="499"/>
      <c r="L246" s="601">
        <f>J246-8.5/12</f>
        <v>757.55356899759659</v>
      </c>
      <c r="M246" s="19">
        <f>J246-D$28</f>
        <v>751.37651733092991</v>
      </c>
      <c r="N246" s="20">
        <f>N254</f>
        <v>745.17798515510867</v>
      </c>
      <c r="O246" s="66">
        <f>IF(N246=MIN(N$244:N$256),FLOOR(N246,0.25)," ")</f>
        <v>745</v>
      </c>
      <c r="P246" s="43" t="str">
        <f>IF(O246=" "," ","(Controls)")</f>
        <v>(Controls)</v>
      </c>
      <c r="Q246" s="23"/>
    </row>
    <row r="247" spans="1:17" x14ac:dyDescent="0.2">
      <c r="B247" s="41" t="s">
        <v>52</v>
      </c>
      <c r="C247" s="585">
        <v>17677.09</v>
      </c>
      <c r="D247" s="585">
        <v>17677</v>
      </c>
      <c r="E247" s="18">
        <f t="shared" si="27"/>
        <v>758.2512841272727</v>
      </c>
      <c r="F247" s="583">
        <v>0.11</v>
      </c>
      <c r="G247" s="500">
        <f t="shared" si="28"/>
        <v>2.9781641523906725E-2</v>
      </c>
      <c r="H247" s="583">
        <v>12.416667</v>
      </c>
      <c r="I247" s="500"/>
      <c r="J247" s="499">
        <f>E247+(F247*G247)+(D147*$H$58)+((H247-$E$58)*$D$58)</f>
        <v>758.60541544822138</v>
      </c>
      <c r="K247" s="499"/>
      <c r="L247" s="601">
        <f t="shared" ref="L247" si="29">J247-8.5/12</f>
        <v>757.89708211488801</v>
      </c>
      <c r="M247" s="19">
        <f>J247-E$28</f>
        <v>751.72711378155475</v>
      </c>
      <c r="N247" s="20">
        <f>N254</f>
        <v>745.17798515510867</v>
      </c>
      <c r="O247" s="66">
        <f t="shared" ref="O247:O255" si="30">IF(N247=MIN(N$244:N$256),FLOOR(N247,0.25)," ")</f>
        <v>745</v>
      </c>
      <c r="P247" s="43" t="str">
        <f>IF(O247=" "," ","(Controls)")</f>
        <v>(Controls)</v>
      </c>
      <c r="Q247" s="23"/>
    </row>
    <row r="248" spans="1:17" x14ac:dyDescent="0.2">
      <c r="B248" s="41" t="s">
        <v>717</v>
      </c>
      <c r="C248" s="585">
        <v>17677.22</v>
      </c>
      <c r="D248" s="585">
        <v>17677.13</v>
      </c>
      <c r="E248" s="18">
        <f t="shared" si="27"/>
        <v>758.25006429041946</v>
      </c>
      <c r="F248" s="583">
        <v>0.11</v>
      </c>
      <c r="G248" s="500">
        <f t="shared" si="28"/>
        <v>2.9757265831415268E-2</v>
      </c>
      <c r="H248" s="583">
        <v>12</v>
      </c>
      <c r="I248" s="500"/>
      <c r="J248" s="499">
        <f>E248+(F248*G248)+(D148*H248)</f>
        <v>758.62056700924438</v>
      </c>
      <c r="K248" s="601">
        <f>J248</f>
        <v>758.62056700924438</v>
      </c>
      <c r="L248" s="499"/>
      <c r="M248" s="19"/>
      <c r="N248" s="20"/>
      <c r="O248" s="66" t="str">
        <f t="shared" si="30"/>
        <v xml:space="preserve"> </v>
      </c>
      <c r="P248" s="43"/>
      <c r="Q248" s="23"/>
    </row>
    <row r="249" spans="1:17" x14ac:dyDescent="0.2">
      <c r="B249" s="41" t="s">
        <v>53</v>
      </c>
      <c r="C249" s="585">
        <v>17680.099999999999</v>
      </c>
      <c r="D249" s="585">
        <v>17680.080000000002</v>
      </c>
      <c r="E249" s="18">
        <f t="shared" si="27"/>
        <v>758.22208878431275</v>
      </c>
      <c r="F249" s="583">
        <v>0.09</v>
      </c>
      <c r="G249" s="500">
        <f t="shared" si="28"/>
        <v>2.9204125117190304E-2</v>
      </c>
      <c r="H249" s="583">
        <v>2.9166669999999999</v>
      </c>
      <c r="I249" s="500"/>
      <c r="J249" s="499">
        <f>E249+(F249*G249)+(D149*H249)</f>
        <v>758.31236047898506</v>
      </c>
      <c r="K249" s="499"/>
      <c r="L249" s="601">
        <f t="shared" ref="L249" si="31">J249-8.5/12</f>
        <v>757.60402714565168</v>
      </c>
      <c r="M249" s="19">
        <f>J249-F$28</f>
        <v>751.44905881231841</v>
      </c>
      <c r="N249" s="20">
        <f>N254</f>
        <v>745.17798515510867</v>
      </c>
      <c r="O249" s="66">
        <f t="shared" si="30"/>
        <v>745</v>
      </c>
      <c r="P249" s="43" t="str">
        <f>IF(O249=" "," ","(Controls)")</f>
        <v>(Controls)</v>
      </c>
      <c r="Q249" s="23"/>
    </row>
    <row r="250" spans="1:17" x14ac:dyDescent="0.2">
      <c r="B250" s="41" t="s">
        <v>718</v>
      </c>
      <c r="C250" s="585">
        <v>17681.05</v>
      </c>
      <c r="D250" s="65"/>
      <c r="E250" s="18">
        <f t="shared" ref="E250:E256" si="32">IF(F$32="Vertical Tangent",D$45+(C250-D$44)*D$47,(D$48-D$47)/(2*H$47)*(C250-D$44)^2+D$47*(C250-D$44)+D$45)</f>
        <v>758.21276677439766</v>
      </c>
      <c r="F250" s="501"/>
      <c r="G250" s="500">
        <v>0</v>
      </c>
      <c r="H250" s="501"/>
      <c r="I250" s="500">
        <v>0</v>
      </c>
      <c r="J250" s="499">
        <f>E250</f>
        <v>758.21276677439766</v>
      </c>
      <c r="K250" s="601">
        <f>J250</f>
        <v>758.21276677439766</v>
      </c>
      <c r="L250" s="499"/>
      <c r="M250" s="19"/>
      <c r="N250" s="20"/>
      <c r="O250" s="66" t="str">
        <f t="shared" si="30"/>
        <v xml:space="preserve"> </v>
      </c>
      <c r="P250" s="43"/>
      <c r="Q250" s="23"/>
    </row>
    <row r="251" spans="1:17" x14ac:dyDescent="0.2">
      <c r="B251" s="41" t="s">
        <v>54</v>
      </c>
      <c r="C251" s="585">
        <v>17683.12</v>
      </c>
      <c r="D251" s="65"/>
      <c r="E251" s="18">
        <f t="shared" si="32"/>
        <v>758.19266938329451</v>
      </c>
      <c r="F251" s="501"/>
      <c r="G251" s="500"/>
      <c r="H251" s="583">
        <v>6.5157999999999996</v>
      </c>
      <c r="I251" s="500">
        <f>-I157</f>
        <v>-2.8634108923548965E-2</v>
      </c>
      <c r="J251" s="499">
        <f t="shared" ref="J251:J256" si="33">E251+(I251*H251)</f>
        <v>758.00609525637049</v>
      </c>
      <c r="K251" s="499"/>
      <c r="L251" s="601">
        <f t="shared" ref="L251:L254" si="34">J251-8.5/12</f>
        <v>757.29776192303711</v>
      </c>
      <c r="M251" s="19">
        <f>J251-G$28</f>
        <v>751.14279358970384</v>
      </c>
      <c r="N251" s="20">
        <f>N254</f>
        <v>745.17798515510867</v>
      </c>
      <c r="O251" s="66">
        <f t="shared" si="30"/>
        <v>745</v>
      </c>
      <c r="P251" s="43" t="str">
        <f>IF(O251=" "," ","(Controls)")</f>
        <v>(Controls)</v>
      </c>
      <c r="Q251" s="23"/>
    </row>
    <row r="252" spans="1:17" x14ac:dyDescent="0.2">
      <c r="B252" s="41" t="s">
        <v>55</v>
      </c>
      <c r="C252" s="585">
        <v>17686.16</v>
      </c>
      <c r="D252" s="65"/>
      <c r="E252" s="18">
        <f t="shared" si="32"/>
        <v>758.16265070652366</v>
      </c>
      <c r="F252" s="501"/>
      <c r="G252" s="500"/>
      <c r="H252" s="583">
        <v>16.033100000000001</v>
      </c>
      <c r="I252" s="500">
        <f t="shared" ref="I252:I256" si="35">-I158</f>
        <v>-2.8064092729906946E-2</v>
      </c>
      <c r="J252" s="499">
        <f t="shared" si="33"/>
        <v>757.71269630137579</v>
      </c>
      <c r="K252" s="499"/>
      <c r="L252" s="601">
        <f t="shared" si="34"/>
        <v>757.00436296804241</v>
      </c>
      <c r="M252" s="19">
        <f>J252-H$28</f>
        <v>750.84606130137581</v>
      </c>
      <c r="N252" s="20">
        <f>N254</f>
        <v>745.17798515510867</v>
      </c>
      <c r="O252" s="66">
        <f t="shared" si="30"/>
        <v>745</v>
      </c>
      <c r="P252" s="43" t="str">
        <f>IF(O252=" "," ","(Controls)")</f>
        <v>(Controls)</v>
      </c>
      <c r="Q252" s="23"/>
    </row>
    <row r="253" spans="1:17" x14ac:dyDescent="0.2">
      <c r="B253" s="41" t="s">
        <v>56</v>
      </c>
      <c r="C253" s="585">
        <v>17689.21</v>
      </c>
      <c r="D253" s="65"/>
      <c r="E253" s="18">
        <f t="shared" si="32"/>
        <v>758.13193104815775</v>
      </c>
      <c r="F253" s="501"/>
      <c r="G253" s="500"/>
      <c r="H253" s="583">
        <v>25.547899999999998</v>
      </c>
      <c r="I253" s="500">
        <f t="shared" si="35"/>
        <v>-2.7492201482996668E-2</v>
      </c>
      <c r="J253" s="499">
        <f t="shared" si="33"/>
        <v>757.4295630338903</v>
      </c>
      <c r="K253" s="499"/>
      <c r="L253" s="601">
        <f t="shared" si="34"/>
        <v>756.72122970055693</v>
      </c>
      <c r="M253" s="19">
        <f>J253-I$28</f>
        <v>750.50959470055693</v>
      </c>
      <c r="N253" s="20">
        <f>N254</f>
        <v>745.17798515510867</v>
      </c>
      <c r="O253" s="66">
        <f t="shared" si="30"/>
        <v>745</v>
      </c>
      <c r="P253" s="43" t="str">
        <f>IF(O253=" "," ","(Controls)")</f>
        <v>(Controls)</v>
      </c>
      <c r="Q253" s="23"/>
    </row>
    <row r="254" spans="1:17" x14ac:dyDescent="0.2">
      <c r="B254" s="41" t="s">
        <v>57</v>
      </c>
      <c r="C254" s="585">
        <v>17692.28</v>
      </c>
      <c r="D254" s="65"/>
      <c r="E254" s="18">
        <f t="shared" si="32"/>
        <v>758.10040077823999</v>
      </c>
      <c r="F254" s="501"/>
      <c r="G254" s="500"/>
      <c r="H254" s="583">
        <v>35.060099999999998</v>
      </c>
      <c r="I254" s="500">
        <f t="shared" si="35"/>
        <v>-2.691656012954919E-2</v>
      </c>
      <c r="J254" s="499">
        <f t="shared" si="33"/>
        <v>757.15670348844196</v>
      </c>
      <c r="K254" s="499"/>
      <c r="L254" s="601">
        <f t="shared" si="34"/>
        <v>756.44837015510859</v>
      </c>
      <c r="M254" s="19">
        <f>J254-J$28</f>
        <v>750.17798515510867</v>
      </c>
      <c r="N254" s="20">
        <f>M254-F$11</f>
        <v>745.17798515510867</v>
      </c>
      <c r="O254" s="66">
        <f t="shared" si="30"/>
        <v>745</v>
      </c>
      <c r="P254" s="43"/>
      <c r="Q254" s="23"/>
    </row>
    <row r="255" spans="1:17" x14ac:dyDescent="0.2">
      <c r="B255" s="506" t="s">
        <v>719</v>
      </c>
      <c r="C255" s="586">
        <v>17692.580000000002</v>
      </c>
      <c r="D255" s="504"/>
      <c r="E255" s="18">
        <f t="shared" si="32"/>
        <v>758.09728686499454</v>
      </c>
      <c r="F255" s="501"/>
      <c r="G255" s="500"/>
      <c r="H255" s="583">
        <v>36</v>
      </c>
      <c r="I255" s="500">
        <f t="shared" si="35"/>
        <v>-2.6860308531491885E-2</v>
      </c>
      <c r="J255" s="499">
        <f t="shared" si="33"/>
        <v>757.13031575786079</v>
      </c>
      <c r="K255" s="601">
        <f>J255</f>
        <v>757.13031575786079</v>
      </c>
      <c r="L255" s="499"/>
      <c r="M255" s="19"/>
      <c r="N255" s="20"/>
      <c r="O255" s="66" t="str">
        <f t="shared" si="30"/>
        <v xml:space="preserve"> </v>
      </c>
      <c r="P255" s="43"/>
      <c r="Q255" s="23"/>
    </row>
    <row r="256" spans="1:17" ht="13.5" thickBot="1" x14ac:dyDescent="0.25">
      <c r="A256" s="39"/>
      <c r="B256" s="507" t="s">
        <v>714</v>
      </c>
      <c r="C256" s="587">
        <v>17693.12</v>
      </c>
      <c r="D256" s="67"/>
      <c r="E256" s="68">
        <f t="shared" si="32"/>
        <v>758.09166711420357</v>
      </c>
      <c r="F256" s="502"/>
      <c r="G256" s="503"/>
      <c r="H256" s="584">
        <v>37.666699999999999</v>
      </c>
      <c r="I256" s="503">
        <f t="shared" si="35"/>
        <v>-2.6759055654990229E-2</v>
      </c>
      <c r="J256" s="96">
        <f t="shared" si="33"/>
        <v>757.08374179256373</v>
      </c>
      <c r="K256" s="96"/>
      <c r="L256" s="96"/>
      <c r="M256" s="105"/>
      <c r="N256" s="505"/>
      <c r="O256" s="66"/>
      <c r="P256" s="43"/>
    </row>
    <row r="257" spans="1:11" x14ac:dyDescent="0.2">
      <c r="B257" s="69"/>
      <c r="C257" s="24"/>
      <c r="D257" s="21"/>
      <c r="E257" s="22"/>
      <c r="F257" s="23"/>
      <c r="G257" s="23"/>
    </row>
    <row r="258" spans="1:11" x14ac:dyDescent="0.2">
      <c r="A258" s="42"/>
      <c r="C258" s="37"/>
      <c r="D258" s="37"/>
      <c r="E258" s="37"/>
      <c r="F258" s="23"/>
      <c r="G258" s="61"/>
      <c r="H258" s="2"/>
      <c r="I258" s="95"/>
    </row>
    <row r="261" spans="1:11" x14ac:dyDescent="0.2">
      <c r="C261" s="39" t="s">
        <v>684</v>
      </c>
      <c r="D261" s="39" t="s">
        <v>685</v>
      </c>
      <c r="E261" s="39" t="s">
        <v>686</v>
      </c>
    </row>
    <row r="262" spans="1:11" ht="15" x14ac:dyDescent="0.25">
      <c r="A262" s="451" t="s">
        <v>683</v>
      </c>
      <c r="B262">
        <v>73</v>
      </c>
      <c r="C262">
        <v>306860.79999999999</v>
      </c>
      <c r="D262">
        <v>759.21900000000005</v>
      </c>
      <c r="E262">
        <v>-0.85909999999999997</v>
      </c>
    </row>
    <row r="263" spans="1:11" ht="15" x14ac:dyDescent="0.25">
      <c r="A263" s="451"/>
    </row>
    <row r="264" spans="1:11" ht="15" x14ac:dyDescent="0.25">
      <c r="A264" s="451" t="s">
        <v>683</v>
      </c>
      <c r="B264">
        <v>74</v>
      </c>
      <c r="C264">
        <v>306870.81</v>
      </c>
      <c r="D264">
        <v>759.12900000000002</v>
      </c>
      <c r="E264">
        <v>-0.89910000000000001</v>
      </c>
    </row>
    <row r="265" spans="1:11" ht="15" x14ac:dyDescent="0.25">
      <c r="A265" s="451"/>
    </row>
    <row r="266" spans="1:11" ht="15" x14ac:dyDescent="0.25">
      <c r="A266" s="451" t="s">
        <v>683</v>
      </c>
      <c r="B266">
        <v>75</v>
      </c>
      <c r="C266">
        <v>306880.88</v>
      </c>
      <c r="D266">
        <v>759.04300000000001</v>
      </c>
      <c r="E266">
        <v>-0.85399999999999998</v>
      </c>
    </row>
    <row r="267" spans="1:11" ht="15" x14ac:dyDescent="0.25">
      <c r="A267" s="451"/>
    </row>
    <row r="268" spans="1:11" ht="15" x14ac:dyDescent="0.25">
      <c r="A268" s="451" t="s">
        <v>683</v>
      </c>
      <c r="B268">
        <v>76</v>
      </c>
      <c r="C268">
        <v>306890.88</v>
      </c>
      <c r="D268">
        <v>758.99699999999996</v>
      </c>
      <c r="E268">
        <v>-0.46</v>
      </c>
    </row>
    <row r="269" spans="1:11" ht="15" x14ac:dyDescent="0.25">
      <c r="A269" s="451"/>
      <c r="F269" s="39" t="s">
        <v>687</v>
      </c>
      <c r="G269" s="39" t="s">
        <v>688</v>
      </c>
      <c r="H269" s="39" t="s">
        <v>689</v>
      </c>
      <c r="I269" t="s">
        <v>128</v>
      </c>
      <c r="J269" s="39" t="s">
        <v>690</v>
      </c>
    </row>
    <row r="270" spans="1:11" ht="15" x14ac:dyDescent="0.25">
      <c r="A270" s="451" t="s">
        <v>683</v>
      </c>
      <c r="B270">
        <v>77</v>
      </c>
      <c r="C270">
        <v>306900.87</v>
      </c>
      <c r="D270">
        <v>758.94600000000003</v>
      </c>
      <c r="E270">
        <v>-0.51049999999999995</v>
      </c>
      <c r="F270">
        <v>17610.34</v>
      </c>
      <c r="G270">
        <v>758.73239999999998</v>
      </c>
      <c r="H270">
        <v>-13.2347</v>
      </c>
      <c r="I270">
        <v>1.6</v>
      </c>
      <c r="J270">
        <f>G270-H270*I270/100</f>
        <v>758.94415519999995</v>
      </c>
      <c r="K270">
        <f>J270-D270</f>
        <v>-1.8448000000717002E-3</v>
      </c>
    </row>
    <row r="271" spans="1:11" ht="15" x14ac:dyDescent="0.25">
      <c r="A271" s="451"/>
    </row>
    <row r="272" spans="1:11" ht="15" x14ac:dyDescent="0.25">
      <c r="A272" s="451" t="s">
        <v>683</v>
      </c>
      <c r="B272">
        <v>78</v>
      </c>
      <c r="C272">
        <v>306910.87</v>
      </c>
      <c r="D272">
        <v>758.88900000000001</v>
      </c>
      <c r="E272">
        <v>-0.56999999999999995</v>
      </c>
    </row>
    <row r="273" spans="1:11" ht="15" x14ac:dyDescent="0.25">
      <c r="A273" s="451"/>
    </row>
    <row r="274" spans="1:11" ht="15" x14ac:dyDescent="0.25">
      <c r="A274" s="451" t="s">
        <v>683</v>
      </c>
      <c r="B274">
        <v>79</v>
      </c>
      <c r="C274">
        <v>306920.87</v>
      </c>
      <c r="D274">
        <v>758.82399999999996</v>
      </c>
      <c r="E274">
        <v>-0.65</v>
      </c>
    </row>
    <row r="275" spans="1:11" ht="15" x14ac:dyDescent="0.25">
      <c r="A275" s="451"/>
      <c r="F275" s="39" t="s">
        <v>687</v>
      </c>
      <c r="G275" s="39" t="s">
        <v>688</v>
      </c>
      <c r="H275" s="39" t="s">
        <v>689</v>
      </c>
      <c r="I275" t="s">
        <v>128</v>
      </c>
      <c r="J275" s="39" t="s">
        <v>690</v>
      </c>
    </row>
    <row r="276" spans="1:11" ht="15" x14ac:dyDescent="0.25">
      <c r="A276" s="451" t="s">
        <v>683</v>
      </c>
      <c r="B276">
        <v>80</v>
      </c>
      <c r="C276">
        <v>306930.86</v>
      </c>
      <c r="D276">
        <v>758.755</v>
      </c>
      <c r="E276">
        <v>-0.69069999999999998</v>
      </c>
      <c r="F276">
        <v>17640.22</v>
      </c>
      <c r="G276">
        <v>758.55240000000003</v>
      </c>
      <c r="H276">
        <v>-12.580500000000001</v>
      </c>
      <c r="I276">
        <v>1.6</v>
      </c>
      <c r="J276">
        <f>G276-H276*I276/100</f>
        <v>758.75368800000001</v>
      </c>
      <c r="K276">
        <f>J276-D276</f>
        <v>-1.3119999999844367E-3</v>
      </c>
    </row>
    <row r="277" spans="1:11" ht="15" x14ac:dyDescent="0.25">
      <c r="A277" s="451"/>
    </row>
    <row r="278" spans="1:11" ht="15" x14ac:dyDescent="0.25">
      <c r="A278" s="451" t="s">
        <v>683</v>
      </c>
      <c r="B278">
        <v>81</v>
      </c>
      <c r="C278">
        <v>306940.86</v>
      </c>
      <c r="D278">
        <v>758.68</v>
      </c>
      <c r="E278">
        <v>-0.75</v>
      </c>
    </row>
    <row r="279" spans="1:11" ht="15" x14ac:dyDescent="0.25">
      <c r="A279" s="451"/>
    </row>
    <row r="280" spans="1:11" ht="15" x14ac:dyDescent="0.25">
      <c r="A280" s="451" t="s">
        <v>683</v>
      </c>
      <c r="B280">
        <v>82</v>
      </c>
      <c r="C280">
        <v>306950.86</v>
      </c>
      <c r="D280">
        <v>758.59699999999998</v>
      </c>
      <c r="E280">
        <v>-0.83</v>
      </c>
    </row>
    <row r="281" spans="1:11" ht="15" x14ac:dyDescent="0.25">
      <c r="A281" s="451"/>
    </row>
    <row r="282" spans="1:11" ht="15" x14ac:dyDescent="0.25">
      <c r="A282" s="451" t="s">
        <v>683</v>
      </c>
      <c r="B282">
        <v>83</v>
      </c>
      <c r="C282">
        <v>306960.86</v>
      </c>
      <c r="D282">
        <v>758.51</v>
      </c>
      <c r="E282">
        <v>-0.87</v>
      </c>
    </row>
    <row r="283" spans="1:11" ht="15" x14ac:dyDescent="0.25">
      <c r="A283" s="451"/>
    </row>
    <row r="284" spans="1:11" ht="15" x14ac:dyDescent="0.25">
      <c r="A284" s="451" t="s">
        <v>683</v>
      </c>
      <c r="B284">
        <v>84</v>
      </c>
      <c r="C284">
        <v>306970.86</v>
      </c>
      <c r="D284">
        <v>758.41600000000005</v>
      </c>
      <c r="E284">
        <v>-0.94</v>
      </c>
    </row>
    <row r="285" spans="1:11" ht="15" x14ac:dyDescent="0.25">
      <c r="A285" s="451"/>
    </row>
    <row r="286" spans="1:11" ht="15" x14ac:dyDescent="0.25">
      <c r="A286" s="451" t="s">
        <v>683</v>
      </c>
      <c r="B286">
        <v>85</v>
      </c>
      <c r="C286">
        <v>306980.86</v>
      </c>
      <c r="D286">
        <v>758.31700000000001</v>
      </c>
      <c r="E286">
        <v>-0.99</v>
      </c>
    </row>
    <row r="289" spans="2:26" x14ac:dyDescent="0.2">
      <c r="B289" s="43" t="s">
        <v>691</v>
      </c>
    </row>
    <row r="290" spans="2:26" x14ac:dyDescent="0.2">
      <c r="B290" s="43"/>
    </row>
    <row r="291" spans="2:26" x14ac:dyDescent="0.2">
      <c r="B291" s="43"/>
    </row>
    <row r="293" spans="2:26" x14ac:dyDescent="0.2">
      <c r="B293" s="69"/>
      <c r="D293" s="24"/>
      <c r="E293" s="24"/>
      <c r="F293" s="24"/>
      <c r="G293" s="453"/>
      <c r="H293" s="24"/>
      <c r="I293" s="21"/>
      <c r="J293" s="22"/>
      <c r="K293" s="454"/>
      <c r="L293" s="24"/>
      <c r="M293" s="24"/>
      <c r="N293" s="21"/>
      <c r="O293" s="24"/>
      <c r="P293" s="24"/>
      <c r="Q293" s="454"/>
      <c r="R293" s="23"/>
      <c r="S293" s="23"/>
      <c r="T293" s="23"/>
      <c r="U293" s="23"/>
      <c r="V293" s="23"/>
      <c r="X293" s="452"/>
      <c r="Y293" s="74"/>
      <c r="Z293" s="74"/>
    </row>
  </sheetData>
  <mergeCells count="75">
    <mergeCell ref="N167:N168"/>
    <mergeCell ref="J167:J168"/>
    <mergeCell ref="M167:M168"/>
    <mergeCell ref="B56:C56"/>
    <mergeCell ref="D56:E56"/>
    <mergeCell ref="F56:G56"/>
    <mergeCell ref="I56:J56"/>
    <mergeCell ref="B167:B168"/>
    <mergeCell ref="C167:C168"/>
    <mergeCell ref="E167:E168"/>
    <mergeCell ref="I167:I168"/>
    <mergeCell ref="I57:J57"/>
    <mergeCell ref="B64:C64"/>
    <mergeCell ref="F64:G64"/>
    <mergeCell ref="C100:D100"/>
    <mergeCell ref="C107:D107"/>
    <mergeCell ref="A1:K1"/>
    <mergeCell ref="A2:K2"/>
    <mergeCell ref="A3:K3"/>
    <mergeCell ref="A32:A49"/>
    <mergeCell ref="F32:G32"/>
    <mergeCell ref="C115:D115"/>
    <mergeCell ref="C122:D122"/>
    <mergeCell ref="H167:H168"/>
    <mergeCell ref="D167:D168"/>
    <mergeCell ref="F167:F168"/>
    <mergeCell ref="G167:G168"/>
    <mergeCell ref="B224:B225"/>
    <mergeCell ref="I186:I187"/>
    <mergeCell ref="J186:J187"/>
    <mergeCell ref="B186:B187"/>
    <mergeCell ref="M242:M243"/>
    <mergeCell ref="C186:C187"/>
    <mergeCell ref="D186:D187"/>
    <mergeCell ref="E186:E187"/>
    <mergeCell ref="F186:F187"/>
    <mergeCell ref="G186:G187"/>
    <mergeCell ref="H186:H187"/>
    <mergeCell ref="G205:G206"/>
    <mergeCell ref="H205:H206"/>
    <mergeCell ref="I205:I206"/>
    <mergeCell ref="J205:J206"/>
    <mergeCell ref="G224:G225"/>
    <mergeCell ref="H224:H225"/>
    <mergeCell ref="I224:I225"/>
    <mergeCell ref="J224:J225"/>
    <mergeCell ref="B205:B206"/>
    <mergeCell ref="C205:C206"/>
    <mergeCell ref="D205:D206"/>
    <mergeCell ref="E205:E206"/>
    <mergeCell ref="F205:F206"/>
    <mergeCell ref="C224:C225"/>
    <mergeCell ref="D224:D225"/>
    <mergeCell ref="E224:E225"/>
    <mergeCell ref="F224:F225"/>
    <mergeCell ref="N242:N243"/>
    <mergeCell ref="G242:G243"/>
    <mergeCell ref="H242:H243"/>
    <mergeCell ref="I242:I243"/>
    <mergeCell ref="J242:J243"/>
    <mergeCell ref="K242:K243"/>
    <mergeCell ref="L242:L243"/>
    <mergeCell ref="L224:L225"/>
    <mergeCell ref="K224:K225"/>
    <mergeCell ref="B242:B243"/>
    <mergeCell ref="C242:C243"/>
    <mergeCell ref="D242:D243"/>
    <mergeCell ref="E242:E243"/>
    <mergeCell ref="F242:F243"/>
    <mergeCell ref="K167:K168"/>
    <mergeCell ref="L167:L168"/>
    <mergeCell ref="K186:K187"/>
    <mergeCell ref="L186:L187"/>
    <mergeCell ref="K205:K206"/>
    <mergeCell ref="L205:L206"/>
  </mergeCells>
  <conditionalFormatting sqref="D36">
    <cfRule type="expression" dxfId="16" priority="38" stopIfTrue="1">
      <formula>F32="Vertical Curve"</formula>
    </cfRule>
    <cfRule type="expression" dxfId="15" priority="39" stopIfTrue="1">
      <formula>F32="Vertical Tangent"</formula>
    </cfRule>
  </conditionalFormatting>
  <conditionalFormatting sqref="D37">
    <cfRule type="expression" dxfId="14" priority="36" stopIfTrue="1">
      <formula>F32="Vertical Curve"</formula>
    </cfRule>
    <cfRule type="expression" dxfId="13" priority="37" stopIfTrue="1">
      <formula>F32="Vertical Tangent"</formula>
    </cfRule>
  </conditionalFormatting>
  <conditionalFormatting sqref="D38">
    <cfRule type="expression" dxfId="12" priority="35" stopIfTrue="1">
      <formula>F32="Vertical Curve"</formula>
    </cfRule>
  </conditionalFormatting>
  <conditionalFormatting sqref="D39">
    <cfRule type="expression" dxfId="11" priority="34" stopIfTrue="1">
      <formula>F32="Vertical Curve"</formula>
    </cfRule>
  </conditionalFormatting>
  <conditionalFormatting sqref="D40">
    <cfRule type="expression" dxfId="10" priority="33" stopIfTrue="1">
      <formula>F32="Vertical Curve"</formula>
    </cfRule>
  </conditionalFormatting>
  <conditionalFormatting sqref="G36">
    <cfRule type="expression" dxfId="9" priority="32" stopIfTrue="1">
      <formula>F32="Vertical Tangent"</formula>
    </cfRule>
  </conditionalFormatting>
  <conditionalFormatting sqref="G37">
    <cfRule type="expression" dxfId="8" priority="31" stopIfTrue="1">
      <formula>F32="Vertical Tangent"</formula>
    </cfRule>
  </conditionalFormatting>
  <conditionalFormatting sqref="E111:G111 E104:G104 D94:F94 E119:G119 E126:G126">
    <cfRule type="expression" dxfId="7" priority="30" stopIfTrue="1">
      <formula>$D$111="No Skew"</formula>
    </cfRule>
  </conditionalFormatting>
  <conditionalFormatting sqref="D36">
    <cfRule type="expression" dxfId="6" priority="28" stopIfTrue="1">
      <formula>F32="Vertical Curve"</formula>
    </cfRule>
    <cfRule type="expression" dxfId="5" priority="29" stopIfTrue="1">
      <formula>F32="Vertical Tangent"</formula>
    </cfRule>
  </conditionalFormatting>
  <conditionalFormatting sqref="D37">
    <cfRule type="expression" dxfId="4" priority="26" stopIfTrue="1">
      <formula>F32="Vertical Curve"</formula>
    </cfRule>
    <cfRule type="expression" dxfId="3" priority="27" stopIfTrue="1">
      <formula>F32="Vertical Tangent"</formula>
    </cfRule>
  </conditionalFormatting>
  <conditionalFormatting sqref="D38">
    <cfRule type="expression" dxfId="2" priority="25" stopIfTrue="1">
      <formula>F32="Vertical Curve"</formula>
    </cfRule>
  </conditionalFormatting>
  <conditionalFormatting sqref="D39">
    <cfRule type="expression" dxfId="1" priority="24" stopIfTrue="1">
      <formula>F32="Vertical Curve"</formula>
    </cfRule>
  </conditionalFormatting>
  <conditionalFormatting sqref="D40">
    <cfRule type="expression" dxfId="0" priority="23" stopIfTrue="1">
      <formula>F32="Vertical Curve"</formula>
    </cfRule>
  </conditionalFormatting>
  <dataValidations disablePrompts="1" count="5">
    <dataValidation type="list" allowBlank="1" showInputMessage="1" showErrorMessage="1" promptTitle="Orientation of Skew" prompt="LF = Left Forward_x000a_RF = Right Forward_x000a_No Skew" sqref="D126 D111 D119 C94 D104">
      <formula1>"LF,RF,No Skew"</formula1>
    </dataValidation>
    <dataValidation allowBlank="1" showInputMessage="1" showErrorMessage="1" promptTitle="Degrees" prompt="(0-90)" sqref="D94 E111 E119 E104 E126"/>
    <dataValidation allowBlank="1" showInputMessage="1" showErrorMessage="1" promptTitle="Minutes" prompt="(0-60), Set equal to zero for No Skew" sqref="E94 F111 F119 F104 F126"/>
    <dataValidation allowBlank="1" showInputMessage="1" showErrorMessage="1" promptTitle="Seconds" prompt="(0-60), Set equal to zero for No Skew" sqref="F94 G111 G119 G104 G126"/>
    <dataValidation type="list" allowBlank="1" showInputMessage="1" showErrorMessage="1" sqref="F32:G32">
      <formula1>"Vertical Curve, Vertical Tangent"</formula1>
    </dataValidation>
  </dataValidations>
  <pageMargins left="0.7" right="0.7" top="0.75" bottom="0.75" header="0.3" footer="0.3"/>
  <pageSetup scale="29" fitToHeight="0" orientation="portrait"/>
  <headerFooter alignWithMargins="0">
    <oddFooter>&amp;L&amp;A&amp;RSheet &amp;P of &amp;N</oddFooter>
  </headerFooter>
  <rowBreaks count="2" manualBreakCount="2">
    <brk id="80" max="26" man="1"/>
    <brk id="220" max="2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114"/>
  <sheetViews>
    <sheetView workbookViewId="0">
      <selection activeCell="D5" sqref="D5:F5"/>
    </sheetView>
  </sheetViews>
  <sheetFormatPr defaultRowHeight="12.75" x14ac:dyDescent="0.2"/>
  <cols>
    <col min="6" max="6" width="10.42578125" customWidth="1"/>
  </cols>
  <sheetData>
    <row r="1" spans="1:11" ht="20.25" x14ac:dyDescent="0.3">
      <c r="A1" s="658" t="s">
        <v>81</v>
      </c>
      <c r="B1" s="658"/>
      <c r="C1" s="658"/>
      <c r="D1" s="658"/>
      <c r="E1" s="658"/>
      <c r="F1" s="658"/>
      <c r="G1" s="658"/>
      <c r="H1" s="658"/>
      <c r="I1" s="658"/>
      <c r="J1" s="658"/>
      <c r="K1" s="658"/>
    </row>
    <row r="2" spans="1:11" ht="18" x14ac:dyDescent="0.25">
      <c r="A2" s="659" t="s">
        <v>712</v>
      </c>
      <c r="B2" s="659"/>
      <c r="C2" s="659"/>
      <c r="D2" s="659"/>
      <c r="E2" s="659"/>
      <c r="F2" s="659"/>
      <c r="G2" s="659"/>
      <c r="H2" s="659"/>
      <c r="I2" s="659"/>
      <c r="J2" s="659"/>
      <c r="K2" s="659"/>
    </row>
    <row r="3" spans="1:11" ht="15.75" x14ac:dyDescent="0.25">
      <c r="A3" s="660" t="s">
        <v>711</v>
      </c>
      <c r="B3" s="660"/>
      <c r="C3" s="660"/>
      <c r="D3" s="660"/>
      <c r="E3" s="660"/>
      <c r="F3" s="660"/>
      <c r="G3" s="660"/>
      <c r="H3" s="660"/>
      <c r="I3" s="660"/>
      <c r="J3" s="660"/>
      <c r="K3" s="660"/>
    </row>
    <row r="4" spans="1:11" x14ac:dyDescent="0.2">
      <c r="A4" s="462"/>
      <c r="B4" s="462"/>
      <c r="C4" s="17" t="s">
        <v>13</v>
      </c>
      <c r="D4" s="462" t="s">
        <v>710</v>
      </c>
      <c r="E4" s="17" t="s">
        <v>15</v>
      </c>
      <c r="F4" s="25">
        <v>41960</v>
      </c>
      <c r="G4" s="462"/>
      <c r="H4" s="17" t="s">
        <v>28</v>
      </c>
      <c r="I4" s="25"/>
      <c r="J4" s="462"/>
      <c r="K4" s="462"/>
    </row>
    <row r="5" spans="1:11" ht="12.75" customHeight="1" x14ac:dyDescent="0.2">
      <c r="A5" s="462"/>
      <c r="B5" s="462"/>
      <c r="C5" s="17" t="s">
        <v>14</v>
      </c>
      <c r="D5" s="462" t="s">
        <v>848</v>
      </c>
      <c r="E5" s="17" t="s">
        <v>15</v>
      </c>
      <c r="F5" s="826">
        <v>42030</v>
      </c>
      <c r="G5" s="462"/>
      <c r="H5" s="462"/>
      <c r="I5" s="462"/>
      <c r="J5" s="462"/>
      <c r="K5" s="462"/>
    </row>
    <row r="6" spans="1:11" ht="12.75" customHeight="1" x14ac:dyDescent="0.2">
      <c r="A6" s="462"/>
      <c r="B6" s="462"/>
      <c r="C6" s="17"/>
      <c r="D6" s="462"/>
      <c r="E6" s="17"/>
      <c r="F6" s="25"/>
      <c r="G6" s="462"/>
      <c r="H6" s="462"/>
      <c r="I6" s="462"/>
      <c r="J6" s="462"/>
      <c r="K6" s="462"/>
    </row>
    <row r="7" spans="1:11" ht="12.75" customHeight="1" x14ac:dyDescent="0.2">
      <c r="A7" s="462"/>
      <c r="B7" s="462"/>
      <c r="C7" s="17"/>
      <c r="D7" s="462"/>
      <c r="E7" s="17"/>
      <c r="F7" s="25"/>
      <c r="G7" s="462"/>
      <c r="H7" s="462"/>
      <c r="I7" s="462"/>
      <c r="J7" s="462"/>
      <c r="K7" s="462"/>
    </row>
    <row r="8" spans="1:11" ht="12.75" customHeight="1" x14ac:dyDescent="0.2">
      <c r="A8" s="462"/>
      <c r="B8" s="462"/>
      <c r="C8" s="17"/>
      <c r="D8" s="462"/>
      <c r="E8" s="17"/>
      <c r="F8" s="25"/>
      <c r="G8" s="462"/>
      <c r="H8" s="462"/>
      <c r="I8" s="462"/>
      <c r="J8" s="462"/>
      <c r="K8" s="462"/>
    </row>
    <row r="9" spans="1:11" ht="12.75" customHeight="1" x14ac:dyDescent="0.2">
      <c r="A9" s="462"/>
      <c r="B9" s="462"/>
      <c r="C9" s="17"/>
      <c r="D9" s="462"/>
      <c r="E9" s="17"/>
      <c r="F9" s="25"/>
      <c r="G9" s="462"/>
      <c r="H9" s="462"/>
      <c r="I9" s="462"/>
      <c r="J9" s="462"/>
      <c r="K9" s="462"/>
    </row>
    <row r="10" spans="1:11" ht="12.75" customHeight="1" x14ac:dyDescent="0.2">
      <c r="A10" s="462"/>
      <c r="B10" s="462"/>
      <c r="C10" s="17"/>
      <c r="D10" s="462"/>
      <c r="E10" s="17"/>
      <c r="F10" s="25"/>
      <c r="G10" s="462"/>
      <c r="H10" s="462"/>
      <c r="I10" s="462"/>
      <c r="J10" s="462"/>
      <c r="K10" s="462"/>
    </row>
    <row r="11" spans="1:11" ht="12.75" customHeight="1" x14ac:dyDescent="0.2">
      <c r="A11" s="462"/>
      <c r="B11" s="462"/>
      <c r="C11" s="17"/>
      <c r="D11" s="462"/>
      <c r="E11" s="17"/>
      <c r="F11" s="25"/>
      <c r="G11" s="462"/>
      <c r="H11" s="462"/>
      <c r="I11" s="462"/>
      <c r="J11" s="462"/>
      <c r="K11" s="462"/>
    </row>
    <row r="12" spans="1:11" ht="12.75" customHeight="1" x14ac:dyDescent="0.2">
      <c r="A12" s="462"/>
      <c r="B12" s="462"/>
      <c r="C12" s="17"/>
      <c r="D12" s="462"/>
      <c r="E12" s="17"/>
      <c r="F12" s="25"/>
      <c r="G12" s="462"/>
      <c r="H12" s="462"/>
      <c r="I12" s="462"/>
      <c r="J12" s="462"/>
      <c r="K12" s="462"/>
    </row>
    <row r="13" spans="1:11" ht="12.75" customHeight="1" x14ac:dyDescent="0.2">
      <c r="A13" s="462"/>
      <c r="B13" s="462"/>
      <c r="C13" s="17"/>
      <c r="D13" s="462"/>
      <c r="E13" s="17"/>
      <c r="F13" s="25"/>
      <c r="G13" s="462"/>
      <c r="H13" s="462"/>
      <c r="I13" s="462"/>
      <c r="J13" s="462"/>
      <c r="K13" s="462"/>
    </row>
    <row r="14" spans="1:11" ht="12.75" customHeight="1" x14ac:dyDescent="0.2">
      <c r="A14" s="462"/>
      <c r="B14" s="462"/>
      <c r="C14" s="17"/>
      <c r="D14" s="462"/>
      <c r="E14" s="17"/>
      <c r="F14" s="25"/>
      <c r="G14" s="462"/>
      <c r="H14" s="462"/>
      <c r="I14" s="462"/>
      <c r="J14" s="462"/>
      <c r="K14" s="462"/>
    </row>
    <row r="15" spans="1:11" ht="12.75" customHeight="1" x14ac:dyDescent="0.2">
      <c r="A15" s="462"/>
      <c r="B15" s="462"/>
      <c r="C15" s="17"/>
      <c r="D15" s="462"/>
      <c r="E15" s="17"/>
      <c r="F15" s="25"/>
      <c r="G15" s="462"/>
      <c r="H15" s="462"/>
      <c r="I15" s="462"/>
      <c r="J15" s="462"/>
      <c r="K15" s="462"/>
    </row>
    <row r="16" spans="1:11" ht="12.75" customHeight="1" x14ac:dyDescent="0.2">
      <c r="A16" s="462"/>
      <c r="B16" s="462"/>
      <c r="C16" s="17"/>
      <c r="D16" s="462"/>
      <c r="E16" s="17"/>
      <c r="F16" s="25"/>
      <c r="G16" s="462"/>
      <c r="H16" s="462"/>
      <c r="I16" s="462"/>
      <c r="J16" s="462"/>
      <c r="K16" s="462"/>
    </row>
    <row r="17" spans="1:11" ht="12.75" customHeight="1" x14ac:dyDescent="0.2">
      <c r="A17" s="462"/>
      <c r="B17" s="462"/>
      <c r="C17" s="17"/>
      <c r="D17" s="462"/>
      <c r="E17" s="17"/>
      <c r="F17" s="25"/>
      <c r="G17" s="462"/>
      <c r="H17" s="462"/>
      <c r="I17" s="462"/>
      <c r="J17" s="462"/>
      <c r="K17" s="462"/>
    </row>
    <row r="18" spans="1:11" ht="12.75" customHeight="1" x14ac:dyDescent="0.2">
      <c r="A18" s="462"/>
      <c r="B18" s="462"/>
      <c r="C18" s="17"/>
      <c r="D18" s="462"/>
      <c r="E18" s="17"/>
      <c r="F18" s="25"/>
      <c r="G18" s="462"/>
      <c r="H18" s="462"/>
      <c r="I18" s="462"/>
      <c r="J18" s="462"/>
      <c r="K18" s="462"/>
    </row>
    <row r="19" spans="1:11" ht="12.75" customHeight="1" x14ac:dyDescent="0.2">
      <c r="A19" s="462"/>
      <c r="B19" s="462"/>
      <c r="C19" s="17"/>
      <c r="D19" s="462"/>
      <c r="E19" s="17"/>
      <c r="F19" s="25"/>
      <c r="G19" s="462"/>
      <c r="H19" s="462"/>
      <c r="I19" s="462"/>
      <c r="J19" s="462"/>
      <c r="K19" s="462"/>
    </row>
    <row r="20" spans="1:11" ht="12.75" customHeight="1" x14ac:dyDescent="0.2">
      <c r="A20" s="462"/>
      <c r="B20" s="462"/>
      <c r="C20" s="17"/>
      <c r="D20" s="462"/>
      <c r="E20" s="17"/>
      <c r="F20" s="25"/>
      <c r="G20" s="462"/>
      <c r="H20" s="462"/>
      <c r="I20" s="462"/>
      <c r="J20" s="462"/>
      <c r="K20" s="462"/>
    </row>
    <row r="21" spans="1:11" ht="12.75" customHeight="1" x14ac:dyDescent="0.2">
      <c r="A21" s="462"/>
      <c r="B21" s="462"/>
      <c r="C21" s="17"/>
      <c r="D21" s="462"/>
      <c r="E21" s="17"/>
      <c r="F21" s="25"/>
      <c r="G21" s="462"/>
      <c r="H21" s="462"/>
      <c r="I21" s="462"/>
      <c r="J21" s="462"/>
      <c r="K21" s="462"/>
    </row>
    <row r="22" spans="1:11" ht="12.75" customHeight="1" x14ac:dyDescent="0.2">
      <c r="A22" s="462"/>
      <c r="B22" s="462"/>
      <c r="C22" s="17"/>
      <c r="D22" s="462"/>
      <c r="E22" s="17"/>
      <c r="F22" s="25"/>
      <c r="G22" s="462"/>
      <c r="H22" s="462"/>
      <c r="I22" s="462"/>
      <c r="J22" s="462"/>
      <c r="K22" s="462"/>
    </row>
    <row r="23" spans="1:11" ht="12.75" customHeight="1" x14ac:dyDescent="0.2">
      <c r="A23" s="462"/>
      <c r="B23" s="462"/>
      <c r="C23" s="17"/>
      <c r="D23" s="462"/>
      <c r="E23" s="17"/>
      <c r="F23" s="25"/>
      <c r="G23" s="462"/>
      <c r="H23" s="462"/>
      <c r="I23" s="462"/>
      <c r="J23" s="462"/>
      <c r="K23" s="462"/>
    </row>
    <row r="24" spans="1:11" ht="12.75" customHeight="1" x14ac:dyDescent="0.2">
      <c r="A24" s="462"/>
      <c r="B24" s="462"/>
      <c r="C24" s="17"/>
      <c r="D24" s="462"/>
      <c r="E24" s="17"/>
      <c r="F24" s="25"/>
      <c r="G24" s="462"/>
      <c r="H24" s="462"/>
      <c r="I24" s="462"/>
      <c r="J24" s="462"/>
      <c r="K24" s="462"/>
    </row>
    <row r="25" spans="1:11" ht="12.75" customHeight="1" x14ac:dyDescent="0.2">
      <c r="A25" s="462"/>
      <c r="B25" s="462"/>
      <c r="C25" s="17"/>
      <c r="D25" s="462"/>
      <c r="E25" s="17"/>
      <c r="F25" s="25"/>
      <c r="G25" s="462"/>
      <c r="H25" s="462"/>
      <c r="I25" s="462"/>
      <c r="J25" s="462"/>
      <c r="K25" s="462"/>
    </row>
    <row r="26" spans="1:11" ht="12.75" customHeight="1" x14ac:dyDescent="0.2">
      <c r="A26" s="462"/>
      <c r="B26" s="462"/>
      <c r="C26" s="17"/>
      <c r="D26" s="462"/>
      <c r="E26" s="17"/>
      <c r="F26" s="25"/>
      <c r="G26" s="462"/>
      <c r="H26" s="462"/>
      <c r="I26" s="462"/>
      <c r="J26" s="462"/>
      <c r="K26" s="462"/>
    </row>
    <row r="27" spans="1:11" ht="12.75" customHeight="1" x14ac:dyDescent="0.2">
      <c r="A27" s="462"/>
      <c r="B27" s="462"/>
      <c r="C27" s="17"/>
      <c r="D27" s="462"/>
      <c r="E27" s="17"/>
      <c r="F27" s="25"/>
      <c r="G27" s="462"/>
      <c r="H27" s="462"/>
      <c r="I27" s="462"/>
      <c r="J27" s="462"/>
      <c r="K27" s="462"/>
    </row>
    <row r="28" spans="1:11" ht="12.75" customHeight="1" x14ac:dyDescent="0.2">
      <c r="A28" s="462"/>
      <c r="B28" s="462"/>
      <c r="C28" s="17"/>
      <c r="D28" s="462"/>
      <c r="E28" s="17"/>
      <c r="F28" s="25"/>
      <c r="G28" s="462"/>
      <c r="H28" s="462"/>
      <c r="I28" s="462"/>
      <c r="J28" s="462"/>
      <c r="K28" s="462"/>
    </row>
    <row r="29" spans="1:11" ht="12.75" customHeight="1" x14ac:dyDescent="0.2">
      <c r="A29" s="462"/>
      <c r="B29" s="462"/>
      <c r="C29" s="17"/>
      <c r="D29" s="462"/>
      <c r="E29" s="17"/>
      <c r="F29" s="25"/>
      <c r="G29" s="462"/>
      <c r="H29" s="462"/>
      <c r="I29" s="462"/>
      <c r="J29" s="462"/>
      <c r="K29" s="462"/>
    </row>
    <row r="30" spans="1:11" ht="12.75" customHeight="1" x14ac:dyDescent="0.2">
      <c r="A30" s="462"/>
      <c r="B30" s="462"/>
      <c r="C30" s="17"/>
      <c r="D30" s="462"/>
      <c r="E30" s="17"/>
      <c r="F30" s="25"/>
      <c r="G30" s="462"/>
      <c r="H30" s="462"/>
      <c r="I30" s="462"/>
      <c r="J30" s="462"/>
      <c r="K30" s="462"/>
    </row>
    <row r="31" spans="1:11" ht="12.75" customHeight="1" x14ac:dyDescent="0.2">
      <c r="A31" s="462"/>
      <c r="B31" s="462"/>
      <c r="C31" s="17"/>
      <c r="D31" s="462"/>
      <c r="E31" s="17"/>
      <c r="F31" s="25"/>
      <c r="G31" s="462"/>
      <c r="H31" s="462"/>
      <c r="I31" s="462"/>
      <c r="J31" s="462"/>
      <c r="K31" s="462"/>
    </row>
    <row r="32" spans="1:11" ht="12.75" customHeight="1" x14ac:dyDescent="0.2">
      <c r="A32" s="462"/>
      <c r="B32" s="462"/>
      <c r="C32" s="17"/>
      <c r="D32" s="462"/>
      <c r="E32" s="17"/>
      <c r="F32" s="25"/>
      <c r="G32" s="462"/>
      <c r="H32" s="462"/>
      <c r="I32" s="462"/>
      <c r="J32" s="462"/>
      <c r="K32" s="462"/>
    </row>
    <row r="33" spans="1:14" ht="12.75" customHeight="1" x14ac:dyDescent="0.2">
      <c r="A33" s="462"/>
      <c r="B33" s="462"/>
      <c r="C33" s="17"/>
      <c r="D33" s="462"/>
      <c r="E33" s="17"/>
      <c r="F33" s="25"/>
      <c r="G33" s="462"/>
      <c r="H33" s="462"/>
      <c r="I33" s="462"/>
      <c r="J33" s="462"/>
      <c r="K33" s="462"/>
    </row>
    <row r="34" spans="1:14" ht="12.75" customHeight="1" x14ac:dyDescent="0.2">
      <c r="A34" s="462"/>
      <c r="B34" s="462"/>
      <c r="C34" s="17"/>
      <c r="D34" s="462"/>
      <c r="E34" s="17"/>
      <c r="F34" s="25"/>
      <c r="G34" s="462"/>
      <c r="H34" s="462"/>
      <c r="I34" s="462"/>
      <c r="J34" s="462"/>
      <c r="K34" s="462"/>
    </row>
    <row r="35" spans="1:14" ht="12.75" customHeight="1" x14ac:dyDescent="0.2">
      <c r="A35" s="462"/>
      <c r="B35" s="462"/>
      <c r="C35" s="17"/>
      <c r="D35" s="462"/>
      <c r="E35" s="17"/>
      <c r="F35" s="25"/>
      <c r="G35" s="462"/>
      <c r="H35" s="462"/>
      <c r="I35" s="462"/>
      <c r="J35" s="462"/>
      <c r="K35" s="462"/>
    </row>
    <row r="36" spans="1:14" ht="12.75" customHeight="1" x14ac:dyDescent="0.2">
      <c r="A36" s="462"/>
      <c r="B36" s="462"/>
      <c r="C36" s="17"/>
      <c r="D36" s="462"/>
      <c r="E36" s="17"/>
      <c r="F36" s="25"/>
      <c r="G36" s="462"/>
      <c r="H36" s="462"/>
      <c r="I36" s="462"/>
      <c r="J36" s="462"/>
      <c r="K36" s="462"/>
    </row>
    <row r="37" spans="1:14" s="522" customFormat="1" ht="12.75" customHeight="1" x14ac:dyDescent="0.2">
      <c r="A37" s="532"/>
      <c r="B37" s="527"/>
      <c r="C37" s="533"/>
      <c r="D37" s="527"/>
      <c r="E37" s="527"/>
      <c r="J37" s="527"/>
      <c r="L37" s="527"/>
      <c r="M37" s="527"/>
      <c r="N37" s="523"/>
    </row>
    <row r="38" spans="1:14" s="522" customFormat="1" ht="12.75" customHeight="1" x14ac:dyDescent="0.2">
      <c r="A38" s="532"/>
      <c r="B38" s="527"/>
      <c r="C38" s="533"/>
      <c r="D38" s="527"/>
      <c r="E38" s="527"/>
      <c r="J38" s="527"/>
      <c r="L38" s="527"/>
      <c r="M38" s="527"/>
      <c r="N38" s="523"/>
    </row>
    <row r="39" spans="1:14" s="522" customFormat="1" ht="12.75" customHeight="1" x14ac:dyDescent="0.2">
      <c r="A39" s="532"/>
      <c r="B39" s="527"/>
      <c r="C39" s="533"/>
      <c r="D39" s="527"/>
      <c r="E39" s="527"/>
      <c r="J39" s="527"/>
      <c r="L39" s="527"/>
      <c r="M39" s="527"/>
      <c r="N39" s="523"/>
    </row>
    <row r="40" spans="1:14" s="522" customFormat="1" ht="12.75" customHeight="1" x14ac:dyDescent="0.2">
      <c r="A40" s="532"/>
      <c r="B40" s="527"/>
      <c r="C40" s="533"/>
      <c r="D40" s="527"/>
      <c r="E40" s="527"/>
      <c r="J40" s="527"/>
      <c r="L40" s="527"/>
      <c r="M40" s="527"/>
      <c r="N40" s="523"/>
    </row>
    <row r="41" spans="1:14" s="522" customFormat="1" ht="12.75" customHeight="1" x14ac:dyDescent="0.2">
      <c r="A41" s="523"/>
      <c r="B41" s="532"/>
      <c r="C41" s="529"/>
      <c r="D41" s="531"/>
      <c r="H41" s="529"/>
      <c r="I41" s="529"/>
      <c r="J41" s="529"/>
      <c r="K41" s="529"/>
      <c r="L41" s="529"/>
      <c r="M41" s="529"/>
      <c r="N41" s="523"/>
    </row>
    <row r="42" spans="1:14" s="522" customFormat="1" ht="12.75" customHeight="1" x14ac:dyDescent="0.2">
      <c r="A42" s="523"/>
      <c r="B42" s="532"/>
      <c r="C42" s="529"/>
      <c r="D42" s="531"/>
      <c r="J42" s="538" t="s">
        <v>766</v>
      </c>
      <c r="K42" s="539">
        <v>70</v>
      </c>
      <c r="L42" s="540" t="s">
        <v>767</v>
      </c>
      <c r="M42" s="529"/>
      <c r="N42" s="523"/>
    </row>
    <row r="43" spans="1:14" s="522" customFormat="1" ht="12.75" customHeight="1" x14ac:dyDescent="0.2">
      <c r="A43" s="523"/>
      <c r="B43" s="532"/>
      <c r="C43" s="529"/>
      <c r="D43" s="531"/>
      <c r="J43" s="535" t="s">
        <v>768</v>
      </c>
      <c r="K43" s="541">
        <v>0.75</v>
      </c>
      <c r="L43" s="542" t="s">
        <v>769</v>
      </c>
      <c r="M43" s="529"/>
      <c r="N43" s="523"/>
    </row>
    <row r="44" spans="1:14" s="522" customFormat="1" ht="12.75" customHeight="1" x14ac:dyDescent="0.2">
      <c r="A44" s="523"/>
      <c r="B44" s="532"/>
      <c r="C44" s="529"/>
      <c r="D44" s="531"/>
      <c r="J44" s="535" t="s">
        <v>770</v>
      </c>
      <c r="K44" s="541">
        <v>6</v>
      </c>
      <c r="L44" s="542" t="s">
        <v>771</v>
      </c>
      <c r="M44" s="529"/>
      <c r="N44" s="523"/>
    </row>
    <row r="45" spans="1:14" s="522" customFormat="1" ht="12.75" customHeight="1" x14ac:dyDescent="0.2">
      <c r="A45" s="523"/>
      <c r="B45" s="532"/>
      <c r="C45" s="529"/>
      <c r="D45" s="531"/>
      <c r="J45" s="538" t="s">
        <v>772</v>
      </c>
      <c r="K45" s="539">
        <v>30</v>
      </c>
      <c r="L45" s="542" t="s">
        <v>769</v>
      </c>
      <c r="M45" s="529"/>
      <c r="N45" s="523"/>
    </row>
    <row r="46" spans="1:14" s="522" customFormat="1" ht="12.75" customHeight="1" x14ac:dyDescent="0.2">
      <c r="A46" s="523"/>
      <c r="B46" s="532"/>
      <c r="C46" s="529"/>
      <c r="D46" s="531"/>
      <c r="J46" s="535" t="s">
        <v>773</v>
      </c>
      <c r="K46" s="543">
        <v>4.7409999999999997</v>
      </c>
      <c r="L46" s="542" t="s">
        <v>801</v>
      </c>
      <c r="M46" s="529"/>
      <c r="N46" s="523"/>
    </row>
    <row r="47" spans="1:14" s="522" customFormat="1" ht="12.75" customHeight="1" x14ac:dyDescent="0.2">
      <c r="A47" s="523"/>
      <c r="B47" s="532"/>
      <c r="C47" s="529"/>
      <c r="D47" s="531"/>
      <c r="I47" s="529"/>
      <c r="J47" s="537"/>
      <c r="K47" s="537"/>
      <c r="L47" s="529"/>
      <c r="M47" s="529"/>
      <c r="N47" s="523"/>
    </row>
    <row r="48" spans="1:14" s="522" customFormat="1" ht="12.75" customHeight="1" x14ac:dyDescent="0.2">
      <c r="A48" s="523"/>
      <c r="B48" s="523"/>
      <c r="C48" s="529"/>
      <c r="D48" s="529"/>
      <c r="E48" s="529"/>
      <c r="F48" s="529"/>
      <c r="G48" s="529"/>
      <c r="H48" s="537"/>
      <c r="I48" s="537"/>
      <c r="J48" s="537"/>
      <c r="K48" s="537"/>
      <c r="L48" s="537"/>
      <c r="M48" s="529"/>
      <c r="N48" s="523"/>
    </row>
    <row r="49" spans="1:14" s="522" customFormat="1" ht="12.75" customHeight="1" x14ac:dyDescent="0.2">
      <c r="A49" s="523"/>
      <c r="B49" s="523"/>
      <c r="C49" s="529"/>
      <c r="D49" s="529"/>
      <c r="E49" s="529"/>
      <c r="F49" s="529"/>
      <c r="G49" s="529"/>
      <c r="H49" s="529"/>
      <c r="I49" s="537"/>
      <c r="J49" s="537"/>
      <c r="K49" s="537"/>
      <c r="L49" s="537"/>
      <c r="M49" s="529"/>
      <c r="N49" s="523"/>
    </row>
    <row r="50" spans="1:14" s="522" customFormat="1" ht="12.75" customHeight="1" x14ac:dyDescent="0.2">
      <c r="A50" s="523"/>
      <c r="B50" s="523"/>
      <c r="C50" s="527"/>
      <c r="D50" s="527"/>
      <c r="E50" s="527"/>
      <c r="F50" s="527"/>
      <c r="J50" s="537"/>
      <c r="K50" s="537"/>
      <c r="L50" s="537"/>
      <c r="M50" s="527"/>
      <c r="N50" s="523"/>
    </row>
    <row r="51" spans="1:14" s="522" customFormat="1" ht="12.75" customHeight="1" x14ac:dyDescent="0.2">
      <c r="A51" s="523"/>
      <c r="B51" s="523"/>
      <c r="C51" s="529"/>
      <c r="D51" s="529"/>
      <c r="E51" s="529"/>
      <c r="F51" s="529"/>
      <c r="J51" s="537"/>
      <c r="K51" s="537"/>
      <c r="L51" s="537"/>
      <c r="M51" s="529"/>
      <c r="N51" s="523"/>
    </row>
    <row r="52" spans="1:14" s="522" customFormat="1" ht="12.75" customHeight="1" x14ac:dyDescent="0.2">
      <c r="A52" s="523"/>
      <c r="B52" s="523"/>
      <c r="C52" s="529"/>
      <c r="D52" s="529"/>
      <c r="E52" s="529"/>
      <c r="F52" s="529"/>
      <c r="J52" s="537"/>
      <c r="K52" s="537"/>
      <c r="L52" s="537"/>
      <c r="M52" s="529"/>
      <c r="N52" s="523"/>
    </row>
    <row r="53" spans="1:14" s="522" customFormat="1" ht="12.75" customHeight="1" x14ac:dyDescent="0.2">
      <c r="A53" s="523"/>
      <c r="B53" s="523"/>
      <c r="C53" s="527"/>
      <c r="D53" s="527"/>
      <c r="E53" s="527"/>
      <c r="F53" s="527"/>
      <c r="J53" s="537"/>
      <c r="K53" s="537"/>
      <c r="L53" s="537"/>
      <c r="M53" s="527"/>
      <c r="N53" s="523"/>
    </row>
    <row r="54" spans="1:14" s="522" customFormat="1" ht="12.75" customHeight="1" x14ac:dyDescent="0.2">
      <c r="A54" s="523"/>
      <c r="B54" s="523"/>
      <c r="C54" s="529"/>
      <c r="D54" s="529"/>
      <c r="E54" s="529"/>
      <c r="F54" s="529"/>
      <c r="J54" s="537"/>
      <c r="K54" s="537"/>
      <c r="L54" s="537"/>
      <c r="M54" s="529"/>
      <c r="N54" s="523"/>
    </row>
    <row r="55" spans="1:14" s="522" customFormat="1" ht="12.75" customHeight="1" x14ac:dyDescent="0.2">
      <c r="A55" s="523"/>
      <c r="B55" s="523"/>
      <c r="C55" s="529"/>
      <c r="D55" s="529"/>
      <c r="E55" s="529"/>
      <c r="F55" s="529"/>
      <c r="J55" s="537"/>
      <c r="K55" s="537"/>
      <c r="L55" s="537"/>
      <c r="M55" s="529"/>
      <c r="N55" s="523"/>
    </row>
    <row r="56" spans="1:14" s="522" customFormat="1" ht="12.75" customHeight="1" x14ac:dyDescent="0.2">
      <c r="A56" s="523"/>
      <c r="B56" s="523"/>
      <c r="C56" s="527"/>
      <c r="D56" s="527"/>
      <c r="E56" s="527"/>
      <c r="F56" s="527"/>
      <c r="G56" s="527"/>
      <c r="H56" s="537"/>
      <c r="I56" s="537"/>
      <c r="J56" s="537"/>
      <c r="K56" s="537"/>
      <c r="L56" s="537"/>
      <c r="M56" s="527"/>
      <c r="N56" s="523"/>
    </row>
    <row r="57" spans="1:14" s="522" customFormat="1" ht="12.75" customHeight="1" x14ac:dyDescent="0.2">
      <c r="A57" s="523"/>
      <c r="B57" s="523"/>
      <c r="C57" s="529"/>
      <c r="D57" s="529"/>
      <c r="E57" s="529"/>
      <c r="F57" s="529"/>
      <c r="M57" s="529"/>
      <c r="N57" s="523"/>
    </row>
    <row r="58" spans="1:14" s="522" customFormat="1" ht="12.75" customHeight="1" x14ac:dyDescent="0.2">
      <c r="A58" s="523"/>
      <c r="B58" s="523"/>
      <c r="C58" s="529"/>
      <c r="D58" s="529"/>
      <c r="E58" s="529"/>
      <c r="F58" s="529"/>
      <c r="G58" s="529"/>
      <c r="H58" s="537"/>
      <c r="I58" s="537"/>
      <c r="J58" s="537"/>
      <c r="K58" s="537"/>
      <c r="L58" s="537"/>
      <c r="M58" s="529"/>
      <c r="N58" s="523"/>
    </row>
    <row r="59" spans="1:14" s="522" customFormat="1" ht="12.75" customHeight="1" x14ac:dyDescent="0.2">
      <c r="A59" s="523"/>
      <c r="B59" s="523"/>
      <c r="C59" s="527"/>
      <c r="D59" s="527"/>
      <c r="E59" s="527"/>
      <c r="F59" s="527"/>
      <c r="G59" s="527"/>
      <c r="H59" s="537"/>
      <c r="I59" s="537"/>
      <c r="J59" s="537"/>
      <c r="K59" s="537"/>
      <c r="L59" s="537"/>
      <c r="M59" s="527"/>
      <c r="N59" s="523"/>
    </row>
    <row r="60" spans="1:14" s="522" customFormat="1" ht="12.75" customHeight="1" x14ac:dyDescent="0.2">
      <c r="A60" s="523"/>
      <c r="B60" s="523"/>
      <c r="C60" s="529"/>
      <c r="D60" s="529"/>
      <c r="E60" s="529"/>
      <c r="F60" s="529"/>
      <c r="G60" s="529"/>
      <c r="H60" s="537"/>
      <c r="I60" s="537"/>
      <c r="J60" s="537"/>
      <c r="K60" s="537"/>
      <c r="L60" s="537"/>
      <c r="M60" s="529"/>
      <c r="N60" s="523"/>
    </row>
    <row r="61" spans="1:14" s="522" customFormat="1" ht="12.75" customHeight="1" x14ac:dyDescent="0.2">
      <c r="A61" s="523"/>
      <c r="B61" s="523"/>
      <c r="C61" s="529"/>
      <c r="D61" s="529"/>
      <c r="E61" s="529"/>
      <c r="F61" s="529"/>
      <c r="G61" s="529"/>
      <c r="H61" s="537"/>
      <c r="I61" s="537"/>
      <c r="J61" s="537"/>
      <c r="K61" s="537"/>
      <c r="L61" s="537"/>
      <c r="M61" s="529"/>
      <c r="N61" s="523"/>
    </row>
    <row r="62" spans="1:14" s="522" customFormat="1" ht="12.75" customHeight="1" x14ac:dyDescent="0.2">
      <c r="A62" s="544" t="s">
        <v>774</v>
      </c>
      <c r="B62" s="524" t="s">
        <v>775</v>
      </c>
      <c r="C62" s="527"/>
      <c r="E62" s="545" t="s">
        <v>776</v>
      </c>
      <c r="F62" s="524" t="s">
        <v>777</v>
      </c>
      <c r="G62" s="545" t="s">
        <v>778</v>
      </c>
      <c r="H62" s="537">
        <f>1.45-(0.13*(K46))</f>
        <v>0.83367000000000002</v>
      </c>
      <c r="I62" s="537">
        <f>IF(H62&lt;1,1,H62)</f>
        <v>1</v>
      </c>
      <c r="J62" s="546" t="s">
        <v>779</v>
      </c>
      <c r="K62" s="537"/>
      <c r="L62" s="537"/>
      <c r="M62" s="527"/>
      <c r="N62" s="523"/>
    </row>
    <row r="63" spans="1:14" s="522" customFormat="1" ht="12.75" customHeight="1" x14ac:dyDescent="0.2">
      <c r="A63" s="544" t="s">
        <v>774</v>
      </c>
      <c r="B63" s="537">
        <f>1.9*(MAX(H62:I62)*H63*H64*H65*(K43^-0.118))</f>
        <v>0.62865849457398149</v>
      </c>
      <c r="C63" s="547" t="s">
        <v>780</v>
      </c>
      <c r="E63" s="547" t="s">
        <v>781</v>
      </c>
      <c r="F63" s="547" t="s">
        <v>782</v>
      </c>
      <c r="G63" s="545" t="s">
        <v>778</v>
      </c>
      <c r="H63" s="537">
        <f>1.56-0.008*(K42)</f>
        <v>1</v>
      </c>
      <c r="I63" s="537"/>
      <c r="J63" s="537"/>
      <c r="K63" s="537"/>
      <c r="L63" s="537"/>
      <c r="M63" s="529"/>
      <c r="N63" s="523"/>
    </row>
    <row r="64" spans="1:14" s="522" customFormat="1" ht="12.75" customHeight="1" x14ac:dyDescent="0.2">
      <c r="A64" s="544" t="s">
        <v>774</v>
      </c>
      <c r="B64" s="537">
        <f>1.9*(MAX(H62:I62)*I62*H63*H64*H65*(K45^-0.118))</f>
        <v>0.40679134973159836</v>
      </c>
      <c r="C64" s="547" t="s">
        <v>783</v>
      </c>
      <c r="D64" s="548" t="s">
        <v>784</v>
      </c>
      <c r="E64" s="547" t="s">
        <v>785</v>
      </c>
      <c r="F64" s="547" t="s">
        <v>786</v>
      </c>
      <c r="G64" s="545" t="s">
        <v>778</v>
      </c>
      <c r="H64" s="537">
        <f>5/(1+K44)</f>
        <v>0.7142857142857143</v>
      </c>
      <c r="I64" s="537"/>
      <c r="J64" s="537"/>
      <c r="K64" s="537"/>
      <c r="L64" s="537"/>
      <c r="M64" s="529"/>
      <c r="N64" s="523"/>
    </row>
    <row r="65" spans="1:14" s="522" customFormat="1" ht="12.75" customHeight="1" x14ac:dyDescent="0.2">
      <c r="A65" s="523"/>
      <c r="B65" s="523"/>
      <c r="C65" s="527"/>
      <c r="D65" s="527"/>
      <c r="E65" s="545" t="s">
        <v>787</v>
      </c>
      <c r="F65" s="545" t="s">
        <v>788</v>
      </c>
      <c r="G65" s="545" t="s">
        <v>778</v>
      </c>
      <c r="H65" s="537">
        <f>K45/(61-4*K44+K45)</f>
        <v>0.44776119402985076</v>
      </c>
      <c r="I65" s="537"/>
      <c r="J65" s="537"/>
      <c r="K65" s="537"/>
      <c r="L65" s="537"/>
      <c r="M65" s="527"/>
      <c r="N65" s="523"/>
    </row>
    <row r="66" spans="1:14" s="522" customFormat="1" ht="12.75" customHeight="1" x14ac:dyDescent="0.2">
      <c r="A66" s="523"/>
      <c r="B66" s="523"/>
      <c r="C66" s="529"/>
      <c r="D66" s="529"/>
      <c r="E66" s="529"/>
      <c r="F66" s="529"/>
      <c r="G66" s="529"/>
      <c r="H66" s="537"/>
      <c r="I66" s="537"/>
      <c r="J66" s="537"/>
      <c r="K66" s="537"/>
      <c r="L66" s="537"/>
      <c r="M66" s="529"/>
      <c r="N66" s="523"/>
    </row>
    <row r="67" spans="1:14" s="522" customFormat="1" ht="12.75" customHeight="1" x14ac:dyDescent="0.2">
      <c r="A67" s="523"/>
      <c r="B67" s="549" t="s">
        <v>789</v>
      </c>
      <c r="C67" s="550" t="s">
        <v>790</v>
      </c>
      <c r="D67" s="551">
        <f>1+B63</f>
        <v>1.6286584945739815</v>
      </c>
      <c r="E67" s="552" t="s">
        <v>791</v>
      </c>
      <c r="F67" s="547"/>
      <c r="G67" s="529"/>
      <c r="H67" s="537"/>
      <c r="I67" s="537"/>
      <c r="J67" s="537"/>
      <c r="K67" s="537"/>
      <c r="L67" s="537"/>
      <c r="M67" s="529"/>
      <c r="N67" s="523"/>
    </row>
    <row r="68" spans="1:14" s="522" customFormat="1" ht="12.75" customHeight="1" x14ac:dyDescent="0.2">
      <c r="A68" s="523"/>
      <c r="B68" s="549"/>
      <c r="C68" s="550"/>
      <c r="D68" s="551"/>
      <c r="E68" s="552"/>
      <c r="F68" s="547"/>
      <c r="G68" s="529"/>
      <c r="H68" s="537"/>
      <c r="I68" s="537"/>
      <c r="J68" s="537"/>
      <c r="K68" s="537"/>
      <c r="L68" s="537"/>
      <c r="M68" s="529"/>
      <c r="N68" s="523"/>
    </row>
    <row r="69" spans="1:14" s="522" customFormat="1" ht="12.75" customHeight="1" x14ac:dyDescent="0.2">
      <c r="A69" s="523"/>
      <c r="B69" s="523"/>
      <c r="C69" s="545" t="s">
        <v>792</v>
      </c>
      <c r="D69" s="527"/>
      <c r="E69" s="527"/>
      <c r="F69" s="527"/>
      <c r="G69" s="537"/>
      <c r="H69" s="537"/>
      <c r="I69" s="537"/>
      <c r="J69" s="537"/>
      <c r="K69" s="537"/>
      <c r="L69" s="527"/>
      <c r="M69" s="523"/>
    </row>
    <row r="70" spans="1:14" s="522" customFormat="1" ht="12.75" customHeight="1" x14ac:dyDescent="0.2">
      <c r="A70" s="523"/>
      <c r="B70" s="553" t="s">
        <v>793</v>
      </c>
      <c r="C70" s="554">
        <v>3.052</v>
      </c>
      <c r="D70" s="548" t="s">
        <v>794</v>
      </c>
      <c r="E70" s="529"/>
      <c r="F70" s="529"/>
      <c r="G70" s="537"/>
      <c r="H70" s="537"/>
      <c r="I70" s="537"/>
      <c r="J70" s="537"/>
      <c r="K70" s="537"/>
      <c r="L70" s="529"/>
      <c r="M70" s="523"/>
    </row>
    <row r="71" spans="1:14" s="522" customFormat="1" ht="12.75" customHeight="1" x14ac:dyDescent="0.2">
      <c r="A71" s="523"/>
      <c r="B71" s="553" t="s">
        <v>795</v>
      </c>
      <c r="C71" s="554">
        <v>1.0780000000000001</v>
      </c>
      <c r="D71" s="548" t="s">
        <v>794</v>
      </c>
      <c r="E71" s="527"/>
      <c r="F71" s="527"/>
      <c r="G71" s="537"/>
      <c r="H71" s="537"/>
      <c r="I71" s="537"/>
      <c r="J71" s="537"/>
      <c r="K71" s="537"/>
      <c r="L71" s="527"/>
      <c r="M71" s="523"/>
    </row>
    <row r="72" spans="1:14" s="522" customFormat="1" ht="12.75" customHeight="1" x14ac:dyDescent="0.2">
      <c r="A72" s="523"/>
      <c r="D72" s="529"/>
      <c r="E72" s="529"/>
      <c r="F72" s="529"/>
      <c r="G72" s="537"/>
      <c r="H72" s="537"/>
      <c r="I72" s="537"/>
      <c r="J72" s="537"/>
      <c r="K72" s="537"/>
      <c r="L72" s="529"/>
      <c r="M72" s="523"/>
    </row>
    <row r="73" spans="1:14" s="522" customFormat="1" ht="12.75" customHeight="1" x14ac:dyDescent="0.2">
      <c r="A73" s="523"/>
      <c r="B73" s="535" t="s">
        <v>796</v>
      </c>
      <c r="C73" s="555">
        <f>ABS(C70)-ABS(C71)</f>
        <v>1.974</v>
      </c>
      <c r="D73" s="556" t="s">
        <v>797</v>
      </c>
      <c r="E73" s="529"/>
      <c r="F73" s="529"/>
      <c r="G73" s="537"/>
      <c r="H73" s="537"/>
      <c r="I73" s="537"/>
      <c r="J73" s="537"/>
      <c r="K73" s="537"/>
      <c r="L73" s="527"/>
      <c r="M73" s="523"/>
    </row>
    <row r="74" spans="1:14" s="522" customFormat="1" ht="12.75" customHeight="1" x14ac:dyDescent="0.2">
      <c r="A74" s="523"/>
      <c r="B74" s="544" t="s">
        <v>798</v>
      </c>
      <c r="C74" s="555">
        <f>$D$67*C73</f>
        <v>3.2149718682890396</v>
      </c>
      <c r="D74" s="556" t="s">
        <v>797</v>
      </c>
      <c r="E74" s="527"/>
      <c r="F74" s="527"/>
      <c r="G74" s="537"/>
      <c r="H74" s="537"/>
      <c r="I74" s="537"/>
      <c r="J74" s="537"/>
      <c r="K74" s="537"/>
      <c r="L74" s="527"/>
      <c r="M74" s="523"/>
    </row>
    <row r="75" spans="1:14" ht="12.75" customHeight="1" x14ac:dyDescent="0.2">
      <c r="A75" s="462"/>
      <c r="B75" s="462"/>
      <c r="C75" s="17"/>
      <c r="D75" s="17"/>
      <c r="E75" s="25"/>
      <c r="F75" s="462"/>
      <c r="G75" s="462"/>
      <c r="H75" s="462"/>
      <c r="I75" s="462"/>
      <c r="J75" s="462"/>
    </row>
    <row r="77" spans="1:14" ht="18.75" x14ac:dyDescent="0.35">
      <c r="B77" s="558" t="s">
        <v>802</v>
      </c>
    </row>
    <row r="79" spans="1:14" x14ac:dyDescent="0.2">
      <c r="B79" s="39" t="s">
        <v>731</v>
      </c>
    </row>
    <row r="80" spans="1:14" x14ac:dyDescent="0.2">
      <c r="B80" s="39" t="s">
        <v>745</v>
      </c>
      <c r="E80" s="619">
        <v>1.974</v>
      </c>
      <c r="F80" s="619">
        <v>1.974</v>
      </c>
      <c r="G80" s="619">
        <v>1.974</v>
      </c>
      <c r="H80" s="619">
        <f>G80</f>
        <v>1.974</v>
      </c>
      <c r="I80" s="619">
        <f>G80</f>
        <v>1.974</v>
      </c>
    </row>
    <row r="81" spans="2:18" x14ac:dyDescent="0.2">
      <c r="E81" s="613">
        <v>0</v>
      </c>
      <c r="F81" s="613">
        <v>1.5</v>
      </c>
      <c r="G81" s="613">
        <f>G80</f>
        <v>1.974</v>
      </c>
      <c r="H81" s="613">
        <v>1.5</v>
      </c>
      <c r="I81" s="613">
        <v>0</v>
      </c>
    </row>
    <row r="82" spans="2:18" x14ac:dyDescent="0.2">
      <c r="E82" s="613"/>
      <c r="F82" s="613"/>
      <c r="G82" s="613"/>
      <c r="H82" s="613"/>
      <c r="I82" s="613"/>
      <c r="L82" s="2"/>
      <c r="M82" s="672"/>
      <c r="N82" s="672"/>
      <c r="O82" s="672"/>
      <c r="P82" s="672"/>
      <c r="Q82" s="672"/>
      <c r="R82" s="672"/>
    </row>
    <row r="83" spans="2:18" x14ac:dyDescent="0.2">
      <c r="E83" s="613">
        <v>1.331</v>
      </c>
      <c r="F83" s="613">
        <v>1.331</v>
      </c>
      <c r="G83" s="613">
        <v>1.331</v>
      </c>
      <c r="H83" s="613">
        <f>G83</f>
        <v>1.331</v>
      </c>
      <c r="I83" s="613">
        <f>G83</f>
        <v>1.331</v>
      </c>
      <c r="L83" s="2"/>
      <c r="M83" s="2"/>
      <c r="N83" s="615"/>
      <c r="O83" s="616"/>
      <c r="P83" s="616"/>
      <c r="Q83" s="616"/>
      <c r="R83" s="615"/>
    </row>
    <row r="84" spans="2:18" x14ac:dyDescent="0.2">
      <c r="E84" s="613">
        <v>7.6999999999999999E-2</v>
      </c>
      <c r="F84" s="613">
        <v>7.6999999999999999E-2</v>
      </c>
      <c r="G84" s="613">
        <v>7.6999999999999999E-2</v>
      </c>
      <c r="H84" s="613">
        <v>7.6999999999999999E-2</v>
      </c>
      <c r="I84" s="613">
        <v>7.6999999999999999E-2</v>
      </c>
      <c r="L84" s="2"/>
      <c r="M84" s="2"/>
      <c r="N84" s="616"/>
      <c r="O84" s="616"/>
      <c r="P84" s="617"/>
      <c r="Q84" s="616"/>
      <c r="R84" s="616"/>
    </row>
    <row r="85" spans="2:18" x14ac:dyDescent="0.2">
      <c r="E85" s="613"/>
      <c r="F85" s="613"/>
      <c r="G85" s="613"/>
      <c r="H85" s="613"/>
      <c r="I85" s="613"/>
      <c r="L85" s="2"/>
      <c r="M85" s="2"/>
      <c r="N85" s="616"/>
      <c r="O85" s="617"/>
      <c r="P85" s="616"/>
      <c r="Q85" s="617"/>
      <c r="R85" s="616"/>
    </row>
    <row r="86" spans="2:18" x14ac:dyDescent="0.2">
      <c r="E86" s="613">
        <v>0</v>
      </c>
      <c r="F86" s="613">
        <v>0.95</v>
      </c>
      <c r="G86" s="613">
        <f>G83</f>
        <v>1.331</v>
      </c>
      <c r="H86" s="613">
        <v>0.95</v>
      </c>
      <c r="I86" s="613">
        <v>0</v>
      </c>
      <c r="L86" s="2"/>
      <c r="M86" s="2"/>
      <c r="N86" s="616"/>
      <c r="O86" s="616"/>
      <c r="P86" s="616"/>
      <c r="Q86" s="616"/>
      <c r="R86" s="616"/>
    </row>
    <row r="87" spans="2:18" x14ac:dyDescent="0.2">
      <c r="E87" s="613">
        <v>0</v>
      </c>
      <c r="F87" s="613">
        <v>5.3999999999999999E-2</v>
      </c>
      <c r="G87" s="613">
        <f>G84</f>
        <v>7.6999999999999999E-2</v>
      </c>
      <c r="H87" s="613">
        <v>5.3999999999999999E-2</v>
      </c>
      <c r="I87" s="613">
        <v>0</v>
      </c>
      <c r="L87" s="2"/>
      <c r="M87" s="2"/>
      <c r="N87" s="616"/>
      <c r="O87" s="616"/>
      <c r="P87" s="617"/>
      <c r="Q87" s="616"/>
      <c r="R87" s="616"/>
    </row>
    <row r="88" spans="2:18" x14ac:dyDescent="0.2">
      <c r="E88" s="613"/>
      <c r="F88" s="613"/>
      <c r="G88" s="613"/>
      <c r="H88" s="613"/>
      <c r="I88" s="613"/>
      <c r="L88" s="2"/>
      <c r="M88" s="2"/>
      <c r="N88" s="616"/>
      <c r="O88" s="616"/>
      <c r="P88" s="617"/>
      <c r="Q88" s="616"/>
      <c r="R88" s="616"/>
    </row>
    <row r="89" spans="2:18" x14ac:dyDescent="0.2">
      <c r="E89" s="614">
        <v>1.63</v>
      </c>
      <c r="F89" s="614">
        <v>1.63</v>
      </c>
      <c r="G89" s="614">
        <v>1.63</v>
      </c>
      <c r="H89" s="614">
        <v>1.63</v>
      </c>
      <c r="I89" s="614">
        <v>1.63</v>
      </c>
      <c r="L89" s="2"/>
      <c r="M89" s="2"/>
      <c r="N89" s="616"/>
      <c r="O89" s="616"/>
      <c r="P89" s="616"/>
      <c r="Q89" s="616"/>
      <c r="R89" s="616"/>
    </row>
    <row r="90" spans="2:18" ht="13.5" thickBot="1" x14ac:dyDescent="0.25">
      <c r="L90" s="2"/>
      <c r="M90" s="2"/>
      <c r="N90" s="616"/>
      <c r="O90" s="617"/>
      <c r="P90" s="617"/>
      <c r="Q90" s="617"/>
      <c r="R90" s="616"/>
    </row>
    <row r="91" spans="2:18" ht="13.5" thickBot="1" x14ac:dyDescent="0.25">
      <c r="B91" s="39" t="s">
        <v>746</v>
      </c>
      <c r="E91" s="620">
        <f>((E80-E81)*(E89))-((E83+E84)-(E86+E87))</f>
        <v>1.8096199999999998</v>
      </c>
      <c r="F91" s="621">
        <f>((F80-F81)*(F89))-((F83+F84)-(F86+F87))</f>
        <v>0.36861999999999995</v>
      </c>
      <c r="G91" s="621">
        <f>((G80-G81)*(G89))-((G83+G84)-(G86+G87))</f>
        <v>0</v>
      </c>
      <c r="H91" s="621">
        <f>((H80-H81)*(H89))-((H83+H84)-(H86+H87))</f>
        <v>0.36861999999999995</v>
      </c>
      <c r="I91" s="622">
        <f>((I80-I81)*(I89))-((I83+I84)-(I86+I87))</f>
        <v>1.8096199999999998</v>
      </c>
      <c r="L91" s="2"/>
      <c r="M91" s="2"/>
      <c r="N91" s="616"/>
      <c r="O91" s="617"/>
      <c r="P91" s="617"/>
      <c r="Q91" s="617"/>
      <c r="R91" s="616"/>
    </row>
    <row r="92" spans="2:18" x14ac:dyDescent="0.2">
      <c r="L92" s="2"/>
      <c r="M92" s="2"/>
      <c r="N92" s="616"/>
      <c r="O92" s="616"/>
      <c r="P92" s="616"/>
      <c r="Q92" s="616"/>
      <c r="R92" s="616"/>
    </row>
    <row r="93" spans="2:18" x14ac:dyDescent="0.2">
      <c r="L93" s="2"/>
      <c r="M93" s="2"/>
      <c r="N93" s="616"/>
      <c r="O93" s="616"/>
      <c r="P93" s="616"/>
      <c r="Q93" s="616"/>
      <c r="R93" s="616"/>
    </row>
    <row r="94" spans="2:18" x14ac:dyDescent="0.2">
      <c r="B94" s="39" t="s">
        <v>747</v>
      </c>
      <c r="L94" s="2"/>
      <c r="M94" s="616"/>
      <c r="N94" s="616"/>
      <c r="O94" s="616"/>
      <c r="P94" s="616"/>
      <c r="Q94" s="616"/>
      <c r="R94" s="616"/>
    </row>
    <row r="95" spans="2:18" x14ac:dyDescent="0.2">
      <c r="B95" s="39" t="s">
        <v>745</v>
      </c>
      <c r="E95" s="619">
        <v>1.974</v>
      </c>
      <c r="F95" s="619">
        <v>1.974</v>
      </c>
      <c r="G95" s="619">
        <v>1.974</v>
      </c>
      <c r="H95" s="619">
        <f>G95</f>
        <v>1.974</v>
      </c>
      <c r="I95" s="619">
        <f>G95</f>
        <v>1.974</v>
      </c>
      <c r="L95" s="2"/>
      <c r="M95" s="616"/>
      <c r="N95" s="618"/>
      <c r="O95" s="618"/>
      <c r="P95" s="618"/>
      <c r="Q95" s="618"/>
      <c r="R95" s="618"/>
    </row>
    <row r="96" spans="2:18" x14ac:dyDescent="0.2">
      <c r="E96" s="613">
        <v>0</v>
      </c>
      <c r="F96" s="613">
        <v>1.5</v>
      </c>
      <c r="G96" s="613">
        <f>G95</f>
        <v>1.974</v>
      </c>
      <c r="H96" s="613">
        <v>1.5</v>
      </c>
      <c r="I96" s="613">
        <v>0</v>
      </c>
      <c r="L96" s="2"/>
      <c r="M96" s="2"/>
      <c r="N96" s="618"/>
      <c r="O96" s="618"/>
      <c r="P96" s="618"/>
      <c r="Q96" s="618"/>
      <c r="R96" s="618"/>
    </row>
    <row r="97" spans="2:18" x14ac:dyDescent="0.2">
      <c r="E97" s="613"/>
      <c r="F97" s="613"/>
      <c r="G97" s="613"/>
      <c r="H97" s="613"/>
      <c r="I97" s="613"/>
      <c r="L97" s="2"/>
      <c r="M97" s="2"/>
      <c r="N97" s="2"/>
      <c r="O97" s="2"/>
      <c r="P97" s="2"/>
      <c r="Q97" s="2"/>
      <c r="R97" s="2"/>
    </row>
    <row r="98" spans="2:18" x14ac:dyDescent="0.2">
      <c r="E98" s="613">
        <v>1.151</v>
      </c>
      <c r="F98" s="613">
        <v>1.151</v>
      </c>
      <c r="G98" s="613">
        <v>1.151</v>
      </c>
      <c r="H98" s="613">
        <v>1.151</v>
      </c>
      <c r="I98" s="613">
        <v>1.151</v>
      </c>
      <c r="L98" s="2"/>
      <c r="M98" s="2"/>
      <c r="N98" s="2"/>
      <c r="O98" s="2"/>
      <c r="P98" s="2"/>
      <c r="Q98" s="2"/>
      <c r="R98" s="2"/>
    </row>
    <row r="99" spans="2:18" x14ac:dyDescent="0.2">
      <c r="E99" s="613">
        <v>7.1999999999999995E-2</v>
      </c>
      <c r="F99" s="613">
        <v>7.1999999999999995E-2</v>
      </c>
      <c r="G99" s="613">
        <v>7.1999999999999995E-2</v>
      </c>
      <c r="H99" s="613">
        <v>7.1999999999999995E-2</v>
      </c>
      <c r="I99" s="613">
        <f>G99</f>
        <v>7.1999999999999995E-2</v>
      </c>
      <c r="L99" s="2"/>
      <c r="M99" s="2"/>
      <c r="N99" s="2"/>
      <c r="O99" s="2"/>
      <c r="P99" s="2"/>
      <c r="Q99" s="2"/>
      <c r="R99" s="2"/>
    </row>
    <row r="100" spans="2:18" x14ac:dyDescent="0.2">
      <c r="E100" s="613"/>
      <c r="F100" s="613"/>
      <c r="G100" s="613"/>
      <c r="H100" s="613"/>
      <c r="I100" s="613"/>
      <c r="L100" s="2"/>
      <c r="M100" s="672"/>
      <c r="N100" s="672"/>
      <c r="O100" s="672"/>
      <c r="P100" s="672"/>
      <c r="Q100" s="672"/>
      <c r="R100" s="672"/>
    </row>
    <row r="101" spans="2:18" x14ac:dyDescent="0.2">
      <c r="E101" s="613">
        <v>0</v>
      </c>
      <c r="F101" s="613">
        <v>0.82</v>
      </c>
      <c r="G101" s="613">
        <f>G98</f>
        <v>1.151</v>
      </c>
      <c r="H101" s="613">
        <v>0.82</v>
      </c>
      <c r="I101" s="613">
        <v>0</v>
      </c>
      <c r="L101" s="2"/>
      <c r="M101" s="2"/>
      <c r="N101" s="615"/>
      <c r="O101" s="616"/>
      <c r="P101" s="616"/>
      <c r="Q101" s="616"/>
      <c r="R101" s="615"/>
    </row>
    <row r="102" spans="2:18" x14ac:dyDescent="0.2">
      <c r="E102" s="613">
        <v>0</v>
      </c>
      <c r="F102" s="613">
        <v>5.0999999999999997E-2</v>
      </c>
      <c r="G102" s="613">
        <f>G99</f>
        <v>7.1999999999999995E-2</v>
      </c>
      <c r="H102" s="613">
        <v>5.0999999999999997E-2</v>
      </c>
      <c r="I102" s="613">
        <v>0</v>
      </c>
      <c r="L102" s="2"/>
      <c r="M102" s="2"/>
      <c r="N102" s="616"/>
      <c r="O102" s="616"/>
      <c r="P102" s="617"/>
      <c r="Q102" s="616"/>
      <c r="R102" s="616"/>
    </row>
    <row r="103" spans="2:18" x14ac:dyDescent="0.2">
      <c r="E103" s="613"/>
      <c r="F103" s="613"/>
      <c r="G103" s="613"/>
      <c r="H103" s="613"/>
      <c r="I103" s="613"/>
      <c r="L103" s="2"/>
      <c r="M103" s="2"/>
      <c r="N103" s="616"/>
      <c r="O103" s="617"/>
      <c r="P103" s="616"/>
      <c r="Q103" s="617"/>
      <c r="R103" s="616"/>
    </row>
    <row r="104" spans="2:18" x14ac:dyDescent="0.2">
      <c r="E104" s="614">
        <v>1.63</v>
      </c>
      <c r="F104" s="614">
        <v>1.63</v>
      </c>
      <c r="G104" s="614">
        <v>1.63</v>
      </c>
      <c r="H104" s="614">
        <v>1.63</v>
      </c>
      <c r="I104" s="614">
        <v>1.63</v>
      </c>
      <c r="L104" s="2"/>
      <c r="M104" s="2"/>
      <c r="N104" s="616"/>
      <c r="O104" s="616"/>
      <c r="P104" s="616"/>
      <c r="Q104" s="616"/>
      <c r="R104" s="616"/>
    </row>
    <row r="105" spans="2:18" ht="13.5" thickBot="1" x14ac:dyDescent="0.25">
      <c r="L105" s="2"/>
      <c r="M105" s="2"/>
      <c r="N105" s="616"/>
      <c r="O105" s="616"/>
      <c r="P105" s="617"/>
      <c r="Q105" s="616"/>
      <c r="R105" s="616"/>
    </row>
    <row r="106" spans="2:18" ht="13.5" thickBot="1" x14ac:dyDescent="0.25">
      <c r="B106" s="39" t="s">
        <v>746</v>
      </c>
      <c r="E106" s="620">
        <f>((E95-E96)*(E104))-((E98+E99)-(E101+E102))</f>
        <v>1.9946199999999996</v>
      </c>
      <c r="F106" s="621">
        <f>((F95-F96)*(F104))-((F98+F99)-(F101+F102))</f>
        <v>0.42061999999999977</v>
      </c>
      <c r="G106" s="621">
        <f>((G95-G96)*(G104))-((G98+G99)-(G101+G102))</f>
        <v>0</v>
      </c>
      <c r="H106" s="621">
        <f>((H95-H96)*(H104))-((H98+H99)-(H101+H102))</f>
        <v>0.42061999999999977</v>
      </c>
      <c r="I106" s="622">
        <f>((I95-I96)*(I104))-((I98+I99)-(I101+I102))</f>
        <v>1.9946199999999996</v>
      </c>
      <c r="L106" s="2"/>
      <c r="M106" s="2"/>
      <c r="N106" s="616"/>
      <c r="O106" s="616"/>
      <c r="P106" s="617"/>
      <c r="Q106" s="616"/>
      <c r="R106" s="616"/>
    </row>
    <row r="107" spans="2:18" x14ac:dyDescent="0.2">
      <c r="L107" s="2"/>
      <c r="M107" s="2"/>
      <c r="N107" s="616"/>
      <c r="O107" s="616"/>
      <c r="P107" s="616"/>
      <c r="Q107" s="616"/>
      <c r="R107" s="616"/>
    </row>
    <row r="108" spans="2:18" x14ac:dyDescent="0.2">
      <c r="L108" s="2"/>
      <c r="M108" s="2"/>
      <c r="N108" s="616"/>
      <c r="O108" s="617"/>
      <c r="P108" s="617"/>
      <c r="Q108" s="617"/>
      <c r="R108" s="616"/>
    </row>
    <row r="109" spans="2:18" x14ac:dyDescent="0.2">
      <c r="L109" s="2"/>
      <c r="M109" s="2"/>
      <c r="N109" s="616"/>
      <c r="O109" s="617"/>
      <c r="P109" s="617"/>
      <c r="Q109" s="617"/>
      <c r="R109" s="616"/>
    </row>
    <row r="110" spans="2:18" x14ac:dyDescent="0.2">
      <c r="L110" s="2"/>
      <c r="M110" s="2"/>
      <c r="N110" s="616"/>
      <c r="O110" s="616"/>
      <c r="P110" s="616"/>
      <c r="Q110" s="616"/>
      <c r="R110" s="616"/>
    </row>
    <row r="111" spans="2:18" x14ac:dyDescent="0.2">
      <c r="L111" s="2"/>
      <c r="M111" s="2"/>
      <c r="N111" s="616"/>
      <c r="O111" s="616"/>
      <c r="P111" s="616"/>
      <c r="Q111" s="616"/>
      <c r="R111" s="616"/>
    </row>
    <row r="112" spans="2:18" x14ac:dyDescent="0.2">
      <c r="L112" s="2"/>
      <c r="M112" s="616"/>
      <c r="N112" s="616"/>
      <c r="O112" s="616"/>
      <c r="P112" s="616"/>
      <c r="Q112" s="616"/>
      <c r="R112" s="616"/>
    </row>
    <row r="113" spans="12:18" x14ac:dyDescent="0.2">
      <c r="L113" s="2"/>
      <c r="M113" s="616"/>
      <c r="N113" s="618"/>
      <c r="O113" s="618"/>
      <c r="P113" s="618"/>
      <c r="Q113" s="618"/>
      <c r="R113" s="618"/>
    </row>
    <row r="114" spans="12:18" x14ac:dyDescent="0.2">
      <c r="L114" s="2"/>
      <c r="M114" s="2"/>
      <c r="N114" s="618"/>
      <c r="O114" s="618"/>
      <c r="P114" s="618"/>
      <c r="Q114" s="618"/>
      <c r="R114" s="618"/>
    </row>
  </sheetData>
  <mergeCells count="5">
    <mergeCell ref="A1:K1"/>
    <mergeCell ref="A2:K2"/>
    <mergeCell ref="A3:K3"/>
    <mergeCell ref="M82:R82"/>
    <mergeCell ref="M100:R100"/>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66"/>
  <sheetViews>
    <sheetView topLeftCell="A19" workbookViewId="0">
      <selection activeCell="J15" sqref="J15"/>
    </sheetView>
  </sheetViews>
  <sheetFormatPr defaultRowHeight="12.75" x14ac:dyDescent="0.2"/>
  <cols>
    <col min="2" max="2" width="10.42578125" customWidth="1"/>
    <col min="3" max="3" width="11.7109375" customWidth="1"/>
    <col min="4" max="4" width="11.140625" customWidth="1"/>
    <col min="5" max="5" width="10.5703125" customWidth="1"/>
    <col min="6" max="6" width="10.85546875" customWidth="1"/>
    <col min="9" max="9" width="10.28515625" customWidth="1"/>
    <col min="10" max="10" width="10.5703125" customWidth="1"/>
    <col min="11" max="11" width="12.140625" customWidth="1"/>
  </cols>
  <sheetData>
    <row r="1" spans="1:14" ht="20.25" x14ac:dyDescent="0.3">
      <c r="A1" s="658" t="s">
        <v>81</v>
      </c>
      <c r="B1" s="658"/>
      <c r="C1" s="658"/>
      <c r="D1" s="658"/>
      <c r="E1" s="658"/>
      <c r="F1" s="658"/>
      <c r="G1" s="658"/>
      <c r="H1" s="658"/>
      <c r="I1" s="658"/>
      <c r="J1" s="658"/>
      <c r="K1" s="658"/>
    </row>
    <row r="2" spans="1:14" ht="18" x14ac:dyDescent="0.25">
      <c r="A2" s="659" t="s">
        <v>712</v>
      </c>
      <c r="B2" s="659"/>
      <c r="C2" s="659"/>
      <c r="D2" s="659"/>
      <c r="E2" s="659"/>
      <c r="F2" s="659"/>
      <c r="G2" s="659"/>
      <c r="H2" s="659"/>
      <c r="I2" s="659"/>
      <c r="J2" s="659"/>
      <c r="K2" s="659"/>
    </row>
    <row r="3" spans="1:14" ht="15.75" x14ac:dyDescent="0.25">
      <c r="A3" s="660" t="s">
        <v>711</v>
      </c>
      <c r="B3" s="660"/>
      <c r="C3" s="660"/>
      <c r="D3" s="660"/>
      <c r="E3" s="660"/>
      <c r="F3" s="660"/>
      <c r="G3" s="660"/>
      <c r="H3" s="660"/>
      <c r="I3" s="660"/>
      <c r="J3" s="660"/>
      <c r="K3" s="660"/>
    </row>
    <row r="4" spans="1:14" x14ac:dyDescent="0.2">
      <c r="A4" s="462"/>
      <c r="B4" s="462"/>
      <c r="C4" s="17" t="s">
        <v>13</v>
      </c>
      <c r="D4" s="462" t="s">
        <v>710</v>
      </c>
      <c r="E4" s="17" t="s">
        <v>15</v>
      </c>
      <c r="F4" s="25">
        <v>41960</v>
      </c>
      <c r="G4" s="462"/>
      <c r="H4" s="17" t="s">
        <v>28</v>
      </c>
      <c r="I4" s="25"/>
      <c r="J4" s="462"/>
      <c r="K4" s="462"/>
    </row>
    <row r="5" spans="1:14" ht="12.75" customHeight="1" x14ac:dyDescent="0.2">
      <c r="A5" s="462"/>
      <c r="B5" s="462"/>
      <c r="C5" s="17" t="s">
        <v>14</v>
      </c>
      <c r="D5" s="462" t="s">
        <v>848</v>
      </c>
      <c r="E5" s="17" t="s">
        <v>15</v>
      </c>
      <c r="F5" s="826">
        <v>42030</v>
      </c>
      <c r="G5" s="462"/>
      <c r="H5" s="462"/>
      <c r="I5" s="462"/>
      <c r="J5" s="462"/>
      <c r="K5" s="462"/>
    </row>
    <row r="6" spans="1:14" ht="12.75" customHeight="1" x14ac:dyDescent="0.2">
      <c r="A6" s="462"/>
      <c r="B6" s="462"/>
      <c r="C6" s="17"/>
      <c r="D6" s="462"/>
      <c r="E6" s="17"/>
      <c r="F6" s="25"/>
      <c r="G6" s="462"/>
      <c r="H6" s="462"/>
      <c r="I6" s="462"/>
      <c r="J6" s="462"/>
      <c r="K6" s="462"/>
    </row>
    <row r="7" spans="1:14" s="522" customFormat="1" ht="12.75" customHeight="1" x14ac:dyDescent="0.2">
      <c r="A7" s="520" t="s">
        <v>748</v>
      </c>
      <c r="B7" s="520"/>
      <c r="C7" s="520"/>
      <c r="D7" s="520"/>
      <c r="E7" s="520"/>
      <c r="F7" s="520"/>
      <c r="G7" s="520"/>
      <c r="H7" s="520"/>
      <c r="I7" s="520"/>
      <c r="J7" s="520"/>
      <c r="K7" s="520"/>
      <c r="L7" s="520"/>
      <c r="M7" s="521"/>
      <c r="N7" s="521"/>
    </row>
    <row r="8" spans="1:14" s="522" customFormat="1" ht="12.75" customHeight="1" x14ac:dyDescent="0.2">
      <c r="A8" s="523"/>
      <c r="B8" s="523"/>
      <c r="C8" s="523"/>
      <c r="D8" s="523"/>
      <c r="E8" s="523"/>
      <c r="F8" s="523"/>
      <c r="G8" s="523"/>
      <c r="H8" s="523"/>
      <c r="I8" s="523"/>
      <c r="J8" s="523"/>
      <c r="K8" s="523"/>
      <c r="L8" s="523"/>
      <c r="M8" s="523"/>
      <c r="N8" s="523"/>
    </row>
    <row r="9" spans="1:14" s="522" customFormat="1" ht="12.75" customHeight="1" x14ac:dyDescent="0.2">
      <c r="A9" s="523" t="s">
        <v>749</v>
      </c>
      <c r="B9" s="523"/>
      <c r="C9" s="523"/>
      <c r="D9" s="523"/>
      <c r="E9" s="523"/>
      <c r="F9" s="523"/>
      <c r="G9" s="523"/>
      <c r="H9" s="523"/>
      <c r="I9" s="523"/>
      <c r="J9" s="523"/>
      <c r="L9" s="523"/>
      <c r="M9" s="523"/>
      <c r="N9" s="523"/>
    </row>
    <row r="10" spans="1:14" s="522" customFormat="1" ht="12.75" customHeight="1" x14ac:dyDescent="0.2">
      <c r="A10" s="524" t="s">
        <v>750</v>
      </c>
      <c r="B10" s="525"/>
      <c r="C10" s="525"/>
      <c r="D10" s="525"/>
      <c r="E10" s="525"/>
      <c r="F10" s="525"/>
      <c r="G10" s="525"/>
      <c r="H10" s="525"/>
      <c r="I10" s="525"/>
      <c r="J10" s="525"/>
      <c r="L10" s="525"/>
      <c r="M10" s="526"/>
      <c r="N10" s="523"/>
    </row>
    <row r="11" spans="1:14" s="522" customFormat="1" ht="12.75" customHeight="1" x14ac:dyDescent="0.2">
      <c r="A11" s="523" t="s">
        <v>751</v>
      </c>
      <c r="B11" s="527"/>
      <c r="D11" s="527"/>
      <c r="E11" s="527"/>
      <c r="F11" s="527"/>
      <c r="G11" s="527"/>
      <c r="H11" s="527"/>
      <c r="I11" s="527"/>
      <c r="J11" s="527"/>
      <c r="L11" s="527"/>
      <c r="M11" s="527"/>
      <c r="N11" s="523"/>
    </row>
    <row r="12" spans="1:14" s="522" customFormat="1" ht="12.75" customHeight="1" x14ac:dyDescent="0.2">
      <c r="A12" s="528"/>
      <c r="B12" s="529"/>
      <c r="C12" s="529"/>
      <c r="D12" s="529"/>
      <c r="E12" s="529"/>
      <c r="F12" s="529"/>
      <c r="G12" s="529"/>
      <c r="H12" s="529"/>
      <c r="I12" s="529"/>
      <c r="J12" s="529"/>
      <c r="L12" s="529"/>
      <c r="M12" s="529"/>
      <c r="N12" s="523"/>
    </row>
    <row r="13" spans="1:14" s="522" customFormat="1" ht="12.75" customHeight="1" x14ac:dyDescent="0.2">
      <c r="A13" s="576" t="s">
        <v>752</v>
      </c>
      <c r="B13" s="559">
        <v>8.5</v>
      </c>
      <c r="D13" s="531" t="s">
        <v>753</v>
      </c>
      <c r="E13" s="529"/>
      <c r="H13" s="529"/>
      <c r="I13" s="529"/>
      <c r="J13" s="529"/>
      <c r="L13" s="529"/>
      <c r="M13" s="529"/>
      <c r="N13" s="523"/>
    </row>
    <row r="14" spans="1:14" s="522" customFormat="1" ht="12.75" customHeight="1" x14ac:dyDescent="0.2">
      <c r="A14" s="532" t="s">
        <v>754</v>
      </c>
      <c r="B14" s="524" t="s">
        <v>756</v>
      </c>
      <c r="D14" s="533" t="s">
        <v>755</v>
      </c>
      <c r="E14" s="527"/>
      <c r="F14" s="527"/>
      <c r="G14" s="527"/>
      <c r="H14" s="527"/>
      <c r="I14" s="527"/>
      <c r="J14" s="527"/>
      <c r="L14" s="527"/>
      <c r="M14" s="527"/>
      <c r="N14" s="523"/>
    </row>
    <row r="15" spans="1:14" s="522" customFormat="1" ht="12.75" customHeight="1" x14ac:dyDescent="0.2">
      <c r="A15" s="532" t="s">
        <v>105</v>
      </c>
      <c r="B15" s="560" t="s">
        <v>756</v>
      </c>
      <c r="D15" s="531" t="s">
        <v>757</v>
      </c>
      <c r="M15" s="529"/>
      <c r="N15" s="523"/>
    </row>
    <row r="16" spans="1:14" s="522" customFormat="1" ht="12.75" customHeight="1" x14ac:dyDescent="0.2">
      <c r="A16" s="532" t="s">
        <v>758</v>
      </c>
      <c r="B16" s="561" t="s">
        <v>803</v>
      </c>
      <c r="D16" s="531" t="s">
        <v>759</v>
      </c>
      <c r="J16" s="529"/>
      <c r="L16" s="529"/>
      <c r="M16" s="529"/>
      <c r="N16" s="523"/>
    </row>
    <row r="17" spans="1:14" s="522" customFormat="1" ht="12.75" customHeight="1" x14ac:dyDescent="0.2">
      <c r="A17" s="532" t="s">
        <v>107</v>
      </c>
      <c r="B17" s="560" t="s">
        <v>756</v>
      </c>
      <c r="D17" s="533" t="s">
        <v>760</v>
      </c>
      <c r="E17" s="527"/>
      <c r="J17" s="527"/>
      <c r="L17" s="527"/>
      <c r="M17" s="527"/>
      <c r="N17" s="523"/>
    </row>
    <row r="18" spans="1:14" s="522" customFormat="1" ht="12.75" customHeight="1" x14ac:dyDescent="0.2">
      <c r="A18" s="532"/>
      <c r="B18" s="527"/>
      <c r="C18" s="533"/>
      <c r="D18" s="527"/>
      <c r="E18" s="527"/>
      <c r="J18" s="527"/>
      <c r="L18" s="527"/>
      <c r="M18" s="527"/>
      <c r="N18" s="523"/>
    </row>
    <row r="19" spans="1:14" s="522" customFormat="1" ht="12.75" customHeight="1" x14ac:dyDescent="0.2">
      <c r="A19" s="557" t="s">
        <v>799</v>
      </c>
      <c r="D19" s="527"/>
      <c r="E19" s="527"/>
      <c r="J19" s="527"/>
      <c r="L19" s="527"/>
      <c r="M19" s="527"/>
      <c r="N19" s="523"/>
    </row>
    <row r="20" spans="1:14" s="522" customFormat="1" ht="12.75" customHeight="1" x14ac:dyDescent="0.2">
      <c r="D20" s="527"/>
      <c r="E20" s="527"/>
      <c r="J20" s="527"/>
      <c r="L20" s="527"/>
      <c r="M20" s="527"/>
      <c r="N20" s="523"/>
    </row>
    <row r="21" spans="1:14" s="522" customFormat="1" ht="12.75" customHeight="1" x14ac:dyDescent="0.2">
      <c r="B21" s="530" t="s">
        <v>761</v>
      </c>
      <c r="C21" s="534">
        <v>2</v>
      </c>
      <c r="D21" s="527"/>
      <c r="E21" s="527"/>
      <c r="J21" s="527"/>
      <c r="L21" s="527"/>
      <c r="M21" s="527"/>
      <c r="N21" s="523"/>
    </row>
    <row r="22" spans="1:14" s="522" customFormat="1" ht="12.75" customHeight="1" x14ac:dyDescent="0.2">
      <c r="B22" s="530" t="s">
        <v>762</v>
      </c>
      <c r="C22" s="534">
        <v>20</v>
      </c>
      <c r="D22" s="527"/>
      <c r="E22" s="527"/>
      <c r="J22" s="527"/>
      <c r="L22" s="527"/>
      <c r="M22" s="527"/>
      <c r="N22" s="523"/>
    </row>
    <row r="23" spans="1:14" s="522" customFormat="1" ht="12.75" customHeight="1" x14ac:dyDescent="0.2">
      <c r="B23" s="530" t="s">
        <v>763</v>
      </c>
      <c r="C23" s="534">
        <v>0.04</v>
      </c>
      <c r="D23" s="527"/>
      <c r="E23" s="527"/>
      <c r="J23" s="527"/>
      <c r="L23" s="527"/>
      <c r="M23" s="527"/>
      <c r="N23" s="523"/>
    </row>
    <row r="24" spans="1:14" s="522" customFormat="1" ht="12.75" customHeight="1" thickBot="1" x14ac:dyDescent="0.25">
      <c r="A24" s="532"/>
      <c r="B24" s="535" t="s">
        <v>764</v>
      </c>
      <c r="C24" s="536">
        <f>C21+(C22*C23)</f>
        <v>2.8</v>
      </c>
      <c r="D24" s="527"/>
      <c r="E24" s="527"/>
      <c r="G24" s="548" t="s">
        <v>732</v>
      </c>
      <c r="H24" s="548" t="s">
        <v>739</v>
      </c>
      <c r="I24" s="548" t="s">
        <v>742</v>
      </c>
      <c r="J24" s="548" t="s">
        <v>743</v>
      </c>
      <c r="K24" s="548" t="s">
        <v>744</v>
      </c>
      <c r="L24" s="527"/>
      <c r="M24" s="527"/>
      <c r="N24" s="523"/>
    </row>
    <row r="25" spans="1:14" s="522" customFormat="1" ht="12.75" customHeight="1" thickBot="1" x14ac:dyDescent="0.25">
      <c r="A25" s="532"/>
      <c r="B25" s="535" t="s">
        <v>765</v>
      </c>
      <c r="C25" s="565">
        <f>C21+((C22/2)*C23)</f>
        <v>2.4</v>
      </c>
      <c r="D25" s="590" t="s">
        <v>810</v>
      </c>
      <c r="E25" s="527"/>
      <c r="G25" s="522">
        <v>2.44</v>
      </c>
      <c r="H25" s="522">
        <v>2.4900000000000002</v>
      </c>
      <c r="I25" s="522">
        <v>2.42</v>
      </c>
      <c r="J25" s="522">
        <v>2.74</v>
      </c>
      <c r="K25" s="522">
        <v>3</v>
      </c>
      <c r="L25" s="527"/>
      <c r="M25" s="527"/>
      <c r="N25" s="523"/>
    </row>
    <row r="26" spans="1:14" ht="12.75" customHeight="1" x14ac:dyDescent="0.2">
      <c r="A26" s="462"/>
      <c r="B26" s="462"/>
      <c r="C26" s="17"/>
      <c r="D26" s="462"/>
      <c r="E26" s="17"/>
      <c r="F26" s="25"/>
      <c r="G26" s="462"/>
      <c r="H26" s="462"/>
      <c r="I26" s="462"/>
      <c r="J26" s="462"/>
      <c r="K26" s="462"/>
    </row>
    <row r="27" spans="1:14" ht="12.75" customHeight="1" x14ac:dyDescent="0.2">
      <c r="A27" s="36" t="s">
        <v>800</v>
      </c>
      <c r="B27" s="462"/>
      <c r="C27" s="17"/>
      <c r="D27" s="462"/>
      <c r="E27" s="17"/>
      <c r="F27" s="25"/>
      <c r="G27" s="462"/>
      <c r="H27" s="462"/>
      <c r="I27" s="462"/>
      <c r="J27" s="462"/>
      <c r="K27" s="462"/>
    </row>
    <row r="28" spans="1:14" ht="11.25" customHeight="1" thickBot="1" x14ac:dyDescent="0.25"/>
    <row r="29" spans="1:14" ht="18" customHeight="1" x14ac:dyDescent="0.2">
      <c r="C29" s="680" t="s">
        <v>11</v>
      </c>
      <c r="D29" s="683" t="s">
        <v>736</v>
      </c>
      <c r="E29" s="686" t="s">
        <v>738</v>
      </c>
      <c r="F29" s="686" t="s">
        <v>737</v>
      </c>
      <c r="G29" s="689" t="s">
        <v>806</v>
      </c>
      <c r="H29" s="690"/>
      <c r="I29" s="676" t="s">
        <v>804</v>
      </c>
      <c r="J29" s="676" t="s">
        <v>809</v>
      </c>
      <c r="K29" s="676" t="s">
        <v>805</v>
      </c>
    </row>
    <row r="30" spans="1:14" x14ac:dyDescent="0.2">
      <c r="C30" s="681"/>
      <c r="D30" s="684"/>
      <c r="E30" s="687"/>
      <c r="F30" s="687"/>
      <c r="G30" s="691"/>
      <c r="H30" s="692"/>
      <c r="I30" s="677"/>
      <c r="J30" s="677"/>
      <c r="K30" s="677"/>
    </row>
    <row r="31" spans="1:14" ht="13.5" thickBot="1" x14ac:dyDescent="0.25">
      <c r="C31" s="682"/>
      <c r="D31" s="685"/>
      <c r="E31" s="688"/>
      <c r="F31" s="688"/>
      <c r="G31" s="581" t="s">
        <v>807</v>
      </c>
      <c r="H31" s="580" t="s">
        <v>808</v>
      </c>
      <c r="I31" s="678"/>
      <c r="J31" s="678"/>
      <c r="K31" s="678"/>
    </row>
    <row r="32" spans="1:14" x14ac:dyDescent="0.2">
      <c r="A32" s="679" t="s">
        <v>732</v>
      </c>
      <c r="B32" s="510" t="s">
        <v>477</v>
      </c>
      <c r="C32" s="513">
        <f>'Rdwy Geometry'!D171</f>
        <v>17583.71</v>
      </c>
      <c r="D32" s="514">
        <v>0</v>
      </c>
      <c r="E32" s="514">
        <f>'Rdwy Geometry'!J171</f>
        <v>759.00418214988508</v>
      </c>
      <c r="F32" s="514">
        <f>E$32+(E$32-E$36)/(D$32-D$36)*D32</f>
        <v>759.00418214988508</v>
      </c>
      <c r="G32" s="577">
        <f>E32-F32</f>
        <v>0</v>
      </c>
      <c r="H32" s="562">
        <f>G32*12</f>
        <v>0</v>
      </c>
      <c r="I32" s="571">
        <f>Camber!E$106</f>
        <v>1.9946199999999996</v>
      </c>
      <c r="J32" s="566">
        <v>0</v>
      </c>
      <c r="K32" s="571">
        <f>B$13+H32+G$25+I32-J32</f>
        <v>12.934619999999999</v>
      </c>
    </row>
    <row r="33" spans="1:11" x14ac:dyDescent="0.2">
      <c r="A33" s="674"/>
      <c r="B33" s="511" t="s">
        <v>733</v>
      </c>
      <c r="C33" s="515">
        <f>'Rdwy Geometry'!D190</f>
        <v>17606.25</v>
      </c>
      <c r="D33" s="516">
        <f>C33-$C$32</f>
        <v>22.540000000000873</v>
      </c>
      <c r="E33" s="516">
        <f>'Rdwy Geometry'!J190</f>
        <v>758.88681800039774</v>
      </c>
      <c r="F33" s="516">
        <f t="shared" ref="F33:F36" si="0">E$32+(E$32-E$36)/(D$32-D$36)*D33</f>
        <v>758.8190843833263</v>
      </c>
      <c r="G33" s="578">
        <f t="shared" ref="G33:G36" si="1">E33-F33</f>
        <v>6.7733617071439767E-2</v>
      </c>
      <c r="H33" s="563">
        <f t="shared" ref="H33:H66" si="2">G33*12</f>
        <v>0.8128034048572772</v>
      </c>
      <c r="I33" s="572">
        <f>Camber!F$106</f>
        <v>0.42061999999999977</v>
      </c>
      <c r="J33" s="567">
        <v>1.26</v>
      </c>
      <c r="K33" s="572">
        <f>B$13+H33+G$25+I33-J33</f>
        <v>10.913423404857276</v>
      </c>
    </row>
    <row r="34" spans="1:11" x14ac:dyDescent="0.2">
      <c r="A34" s="674"/>
      <c r="B34" s="511" t="s">
        <v>734</v>
      </c>
      <c r="C34" s="515">
        <f>'Rdwy Geometry'!D209</f>
        <v>17628.8</v>
      </c>
      <c r="D34" s="516">
        <f t="shared" ref="D34:D36" si="3">C34-$C$32</f>
        <v>45.090000000000146</v>
      </c>
      <c r="E34" s="516">
        <f>'Rdwy Geometry'!J209</f>
        <v>758.73776273244425</v>
      </c>
      <c r="F34" s="516">
        <f t="shared" si="0"/>
        <v>758.63390449708402</v>
      </c>
      <c r="G34" s="578">
        <f t="shared" si="1"/>
        <v>0.10385823536023508</v>
      </c>
      <c r="H34" s="563">
        <f t="shared" si="2"/>
        <v>1.246298824322821</v>
      </c>
      <c r="I34" s="572">
        <f>Camber!G$106</f>
        <v>0</v>
      </c>
      <c r="J34" s="567">
        <v>1.26</v>
      </c>
      <c r="K34" s="572">
        <f>B$13+H34+G$25+I34-J34</f>
        <v>10.926298824322821</v>
      </c>
    </row>
    <row r="35" spans="1:11" x14ac:dyDescent="0.2">
      <c r="A35" s="674"/>
      <c r="B35" s="511" t="s">
        <v>735</v>
      </c>
      <c r="C35" s="515">
        <f>'Rdwy Geometry'!C228</f>
        <v>17651.68</v>
      </c>
      <c r="D35" s="516">
        <f t="shared" si="3"/>
        <v>67.970000000001164</v>
      </c>
      <c r="E35" s="516">
        <f>'Rdwy Geometry'!J228</f>
        <v>758.51285133655506</v>
      </c>
      <c r="F35" s="516">
        <f t="shared" si="0"/>
        <v>758.44601466128699</v>
      </c>
      <c r="G35" s="578">
        <f t="shared" si="1"/>
        <v>6.6836675268064027E-2</v>
      </c>
      <c r="H35" s="563">
        <f t="shared" si="2"/>
        <v>0.80204010321676833</v>
      </c>
      <c r="I35" s="572">
        <f>Camber!H$106</f>
        <v>0.42061999999999977</v>
      </c>
      <c r="J35" s="567">
        <v>1.26</v>
      </c>
      <c r="K35" s="572">
        <f>B$13+H35+G$25+I35-J35</f>
        <v>10.902660103216768</v>
      </c>
    </row>
    <row r="36" spans="1:11" ht="13.5" thickBot="1" x14ac:dyDescent="0.25">
      <c r="A36" s="675"/>
      <c r="B36" s="512" t="s">
        <v>478</v>
      </c>
      <c r="C36" s="517">
        <f>'Rdwy Geometry'!C246</f>
        <v>17674.099999999999</v>
      </c>
      <c r="D36" s="518">
        <f t="shared" si="3"/>
        <v>90.389999999999418</v>
      </c>
      <c r="E36" s="518">
        <f>'Rdwy Geometry'!J246</f>
        <v>758.26190233092996</v>
      </c>
      <c r="F36" s="518">
        <f t="shared" si="0"/>
        <v>758.26190233092996</v>
      </c>
      <c r="G36" s="579">
        <f t="shared" si="1"/>
        <v>0</v>
      </c>
      <c r="H36" s="564">
        <f t="shared" si="2"/>
        <v>0</v>
      </c>
      <c r="I36" s="574">
        <f>Camber!I$106</f>
        <v>1.9946199999999996</v>
      </c>
      <c r="J36" s="570">
        <v>0</v>
      </c>
      <c r="K36" s="573">
        <f>B$13+H36+G$25+I36-J36</f>
        <v>12.934619999999999</v>
      </c>
    </row>
    <row r="37" spans="1:11" x14ac:dyDescent="0.2">
      <c r="A37" s="673" t="s">
        <v>739</v>
      </c>
      <c r="B37" s="510" t="s">
        <v>477</v>
      </c>
      <c r="C37" s="513">
        <f>'Rdwy Geometry'!C172</f>
        <v>17587.189999999999</v>
      </c>
      <c r="D37" s="514">
        <v>0</v>
      </c>
      <c r="E37" s="514">
        <f>'Rdwy Geometry'!J172</f>
        <v>759.36981905888501</v>
      </c>
      <c r="F37" s="519">
        <f>E$37+(E$37-E$41)/(D$37-D$41)*D37</f>
        <v>759.36981905888501</v>
      </c>
      <c r="G37" s="577">
        <f>E37-F37</f>
        <v>0</v>
      </c>
      <c r="H37" s="562">
        <f>G37*12</f>
        <v>0</v>
      </c>
      <c r="I37" s="575">
        <f>Camber!E$91</f>
        <v>1.8096199999999998</v>
      </c>
      <c r="J37" s="566">
        <v>0</v>
      </c>
      <c r="K37" s="571">
        <f>B$13+H37+H$25+I37-J37</f>
        <v>12.799620000000001</v>
      </c>
    </row>
    <row r="38" spans="1:11" x14ac:dyDescent="0.2">
      <c r="A38" s="674"/>
      <c r="B38" s="511" t="s">
        <v>733</v>
      </c>
      <c r="C38" s="515">
        <f>'Rdwy Geometry'!C191</f>
        <v>17609.650000000001</v>
      </c>
      <c r="D38" s="516">
        <f>C38-$C$37</f>
        <v>22.460000000002765</v>
      </c>
      <c r="E38" s="516">
        <f>'Rdwy Geometry'!J191</f>
        <v>759.24871313043775</v>
      </c>
      <c r="F38" s="516">
        <f t="shared" ref="F38:F41" si="4">E$37+(E$37-E$41)/(D$37-D$41)*D38</f>
        <v>759.17884569853459</v>
      </c>
      <c r="G38" s="578">
        <f t="shared" ref="G38:G41" si="5">E38-F38</f>
        <v>6.9867431903162469E-2</v>
      </c>
      <c r="H38" s="563">
        <f t="shared" si="2"/>
        <v>0.83840918283794963</v>
      </c>
      <c r="I38" s="572">
        <f>Camber!F$91</f>
        <v>0.36861999999999995</v>
      </c>
      <c r="J38" s="567">
        <v>1.22</v>
      </c>
      <c r="K38" s="572">
        <f>B$13+H38+H$25+I38-J38</f>
        <v>10.977029182837949</v>
      </c>
    </row>
    <row r="39" spans="1:11" x14ac:dyDescent="0.2">
      <c r="A39" s="674"/>
      <c r="B39" s="511" t="s">
        <v>734</v>
      </c>
      <c r="C39" s="515">
        <f>'Rdwy Geometry'!C210</f>
        <v>17632.13</v>
      </c>
      <c r="D39" s="516">
        <f t="shared" ref="D39:D41" si="6">C39-$C$37</f>
        <v>44.940000000002328</v>
      </c>
      <c r="E39" s="516">
        <f>'Rdwy Geometry'!J210</f>
        <v>759.08898625123265</v>
      </c>
      <c r="F39" s="516">
        <f t="shared" si="4"/>
        <v>758.98770228176352</v>
      </c>
      <c r="G39" s="578">
        <f t="shared" si="5"/>
        <v>0.10128396946913654</v>
      </c>
      <c r="H39" s="563">
        <f t="shared" si="2"/>
        <v>1.2154076336296384</v>
      </c>
      <c r="I39" s="572">
        <f>Camber!G$91</f>
        <v>0</v>
      </c>
      <c r="J39" s="567">
        <v>1.22</v>
      </c>
      <c r="K39" s="572">
        <f>B$13+H39+H$25+I39-J39</f>
        <v>10.985407633629638</v>
      </c>
    </row>
    <row r="40" spans="1:11" x14ac:dyDescent="0.2">
      <c r="A40" s="674"/>
      <c r="B40" s="511" t="s">
        <v>735</v>
      </c>
      <c r="C40" s="515">
        <f>'Rdwy Geometry'!C229</f>
        <v>17654.61</v>
      </c>
      <c r="D40" s="516">
        <f t="shared" si="6"/>
        <v>67.420000000001892</v>
      </c>
      <c r="E40" s="516">
        <f>'Rdwy Geometry'!J229</f>
        <v>758.85991293418169</v>
      </c>
      <c r="F40" s="516">
        <f t="shared" si="4"/>
        <v>758.79655886499245</v>
      </c>
      <c r="G40" s="578">
        <f t="shared" si="5"/>
        <v>6.335406918924491E-2</v>
      </c>
      <c r="H40" s="563">
        <f t="shared" si="2"/>
        <v>0.76024883027093892</v>
      </c>
      <c r="I40" s="572">
        <f>Camber!H$91</f>
        <v>0.36861999999999995</v>
      </c>
      <c r="J40" s="567">
        <v>1.22</v>
      </c>
      <c r="K40" s="572">
        <f>B$13+H40+H$25+I40-J40</f>
        <v>10.898868830270938</v>
      </c>
    </row>
    <row r="41" spans="1:11" ht="13.5" thickBot="1" x14ac:dyDescent="0.25">
      <c r="A41" s="675"/>
      <c r="B41" s="512" t="s">
        <v>478</v>
      </c>
      <c r="C41" s="517">
        <f>'Rdwy Geometry'!C247</f>
        <v>17677.09</v>
      </c>
      <c r="D41" s="518">
        <f t="shared" si="6"/>
        <v>89.900000000001455</v>
      </c>
      <c r="E41" s="518">
        <f>'Rdwy Geometry'!J247</f>
        <v>758.60541544822138</v>
      </c>
      <c r="F41" s="518">
        <f t="shared" si="4"/>
        <v>758.60541544822138</v>
      </c>
      <c r="G41" s="579">
        <f t="shared" si="5"/>
        <v>0</v>
      </c>
      <c r="H41" s="564">
        <f t="shared" si="2"/>
        <v>0</v>
      </c>
      <c r="I41" s="573">
        <f>Camber!I$91</f>
        <v>1.8096199999999998</v>
      </c>
      <c r="J41" s="568">
        <v>0</v>
      </c>
      <c r="K41" s="574">
        <f>B$13+H41+H$25+I41-J41</f>
        <v>12.799620000000001</v>
      </c>
    </row>
    <row r="42" spans="1:11" x14ac:dyDescent="0.2">
      <c r="A42" s="673" t="s">
        <v>740</v>
      </c>
      <c r="B42" s="510" t="s">
        <v>477</v>
      </c>
      <c r="C42" s="513">
        <f>'Rdwy Geometry'!C174</f>
        <v>17589.96</v>
      </c>
      <c r="D42" s="514">
        <v>0</v>
      </c>
      <c r="E42" s="514">
        <f>'Rdwy Geometry'!J174</f>
        <v>759.00817417796497</v>
      </c>
      <c r="F42" s="514">
        <f>E$42+(E$42-E$46)/(D$42-D$46)*D42</f>
        <v>759.00817417796497</v>
      </c>
      <c r="G42" s="577">
        <f>E42-F42</f>
        <v>0</v>
      </c>
      <c r="H42" s="562">
        <f>G42*12</f>
        <v>0</v>
      </c>
      <c r="I42" s="571">
        <f>Camber!E$91</f>
        <v>1.8096199999999998</v>
      </c>
      <c r="J42" s="569">
        <v>0</v>
      </c>
      <c r="K42" s="575">
        <f t="shared" ref="K42:K51" si="7">B$13+H42+C$25+I42-J42</f>
        <v>12.709620000000001</v>
      </c>
    </row>
    <row r="43" spans="1:11" x14ac:dyDescent="0.2">
      <c r="A43" s="674"/>
      <c r="B43" s="511" t="s">
        <v>733</v>
      </c>
      <c r="C43" s="515">
        <f>'Rdwy Geometry'!C193</f>
        <v>17612.48</v>
      </c>
      <c r="D43" s="516">
        <f>C43-$C$42</f>
        <v>22.520000000000437</v>
      </c>
      <c r="E43" s="516">
        <f>'Rdwy Geometry'!J193</f>
        <v>758.88332647055768</v>
      </c>
      <c r="F43" s="516">
        <f t="shared" ref="F43:F46" si="8">E$42+(E$42-E$46)/(D$42-D$46)*D43</f>
        <v>758.83433654205385</v>
      </c>
      <c r="G43" s="578">
        <f t="shared" ref="G43:G46" si="9">E43-F43</f>
        <v>4.8989928503829105E-2</v>
      </c>
      <c r="H43" s="563">
        <f t="shared" si="2"/>
        <v>0.58787914204594927</v>
      </c>
      <c r="I43" s="572">
        <f>Camber!F$91</f>
        <v>0.36861999999999995</v>
      </c>
      <c r="J43" s="567">
        <v>0.79</v>
      </c>
      <c r="K43" s="572">
        <f t="shared" si="7"/>
        <v>11.066499142045949</v>
      </c>
    </row>
    <row r="44" spans="1:11" x14ac:dyDescent="0.2">
      <c r="A44" s="674"/>
      <c r="B44" s="511" t="s">
        <v>734</v>
      </c>
      <c r="C44" s="515">
        <f>'Rdwy Geometry'!C212</f>
        <v>17635.02</v>
      </c>
      <c r="D44" s="516">
        <f>C44-$C$42</f>
        <v>45.06000000000131</v>
      </c>
      <c r="E44" s="516">
        <f>'Rdwy Geometry'!J212</f>
        <v>758.7262183360624</v>
      </c>
      <c r="F44" s="516">
        <f t="shared" si="8"/>
        <v>758.66034452103088</v>
      </c>
      <c r="G44" s="578">
        <f t="shared" si="9"/>
        <v>6.5873815031523009E-2</v>
      </c>
      <c r="H44" s="563">
        <f t="shared" si="2"/>
        <v>0.7904857803782761</v>
      </c>
      <c r="I44" s="572">
        <f>Camber!G$91</f>
        <v>0</v>
      </c>
      <c r="J44" s="567">
        <v>0.79</v>
      </c>
      <c r="K44" s="572">
        <f t="shared" si="7"/>
        <v>10.900485780378276</v>
      </c>
    </row>
    <row r="45" spans="1:11" x14ac:dyDescent="0.2">
      <c r="A45" s="674"/>
      <c r="B45" s="511" t="s">
        <v>735</v>
      </c>
      <c r="C45" s="515">
        <f>'Rdwy Geometry'!C231</f>
        <v>17657.560000000001</v>
      </c>
      <c r="D45" s="516">
        <f>C45-$C$42</f>
        <v>67.600000000002183</v>
      </c>
      <c r="E45" s="516">
        <f>'Rdwy Geometry'!J231</f>
        <v>758.53212331610962</v>
      </c>
      <c r="F45" s="516">
        <f t="shared" si="8"/>
        <v>758.48635250000802</v>
      </c>
      <c r="G45" s="578">
        <f t="shared" si="9"/>
        <v>4.5770816101594392E-2</v>
      </c>
      <c r="H45" s="563">
        <f t="shared" si="2"/>
        <v>0.5492497932191327</v>
      </c>
      <c r="I45" s="572">
        <f>Camber!H$91</f>
        <v>0.36861999999999995</v>
      </c>
      <c r="J45" s="567">
        <v>0.79</v>
      </c>
      <c r="K45" s="572">
        <f t="shared" si="7"/>
        <v>11.027869793219132</v>
      </c>
    </row>
    <row r="46" spans="1:11" ht="13.5" thickBot="1" x14ac:dyDescent="0.25">
      <c r="A46" s="675"/>
      <c r="B46" s="512" t="s">
        <v>478</v>
      </c>
      <c r="C46" s="517">
        <f>'Rdwy Geometry'!C249</f>
        <v>17680.099999999999</v>
      </c>
      <c r="D46" s="518">
        <f>C46-$C$42</f>
        <v>90.139999999999418</v>
      </c>
      <c r="E46" s="518">
        <f>'Rdwy Geometry'!J249</f>
        <v>758.31236047898506</v>
      </c>
      <c r="F46" s="518">
        <f t="shared" si="8"/>
        <v>758.31236047898506</v>
      </c>
      <c r="G46" s="579">
        <f t="shared" si="9"/>
        <v>0</v>
      </c>
      <c r="H46" s="564">
        <f t="shared" si="2"/>
        <v>0</v>
      </c>
      <c r="I46" s="574">
        <f>Camber!I$91</f>
        <v>1.8096199999999998</v>
      </c>
      <c r="J46" s="570">
        <v>0</v>
      </c>
      <c r="K46" s="573">
        <f t="shared" si="7"/>
        <v>12.709620000000001</v>
      </c>
    </row>
    <row r="47" spans="1:11" x14ac:dyDescent="0.2">
      <c r="A47" s="673" t="s">
        <v>741</v>
      </c>
      <c r="B47" s="510" t="s">
        <v>477</v>
      </c>
      <c r="C47" s="513">
        <f>'Rdwy Geometry'!C176</f>
        <v>17592.740000000002</v>
      </c>
      <c r="D47" s="514">
        <v>0</v>
      </c>
      <c r="E47" s="514">
        <f>'Rdwy Geometry'!J176</f>
        <v>758.62678514313268</v>
      </c>
      <c r="F47" s="514">
        <f>E$47+(E$47-E$51)/(D$47-D$51)*D47</f>
        <v>758.62678514313268</v>
      </c>
      <c r="G47" s="577">
        <f>E47-F47</f>
        <v>0</v>
      </c>
      <c r="H47" s="562">
        <f>G47*12</f>
        <v>0</v>
      </c>
      <c r="I47" s="575">
        <f>Camber!E$91</f>
        <v>1.8096199999999998</v>
      </c>
      <c r="J47" s="566">
        <v>0</v>
      </c>
      <c r="K47" s="571">
        <f t="shared" si="7"/>
        <v>12.709620000000001</v>
      </c>
    </row>
    <row r="48" spans="1:11" x14ac:dyDescent="0.2">
      <c r="A48" s="674"/>
      <c r="B48" s="511" t="s">
        <v>733</v>
      </c>
      <c r="C48" s="515">
        <f>'Rdwy Geometry'!C195</f>
        <v>17615.330000000002</v>
      </c>
      <c r="D48" s="516">
        <f>C48-$C$47</f>
        <v>22.590000000000146</v>
      </c>
      <c r="E48" s="516">
        <f>'Rdwy Geometry'!J195</f>
        <v>758.49813107098305</v>
      </c>
      <c r="F48" s="516">
        <f t="shared" ref="F48:F51" si="10">E$47+(E$47-E$51)/(D$47-D$51)*D48</f>
        <v>758.47164700923179</v>
      </c>
      <c r="G48" s="578">
        <f t="shared" ref="G48:G51" si="11">E48-F48</f>
        <v>2.6484061751261834E-2</v>
      </c>
      <c r="H48" s="563">
        <f t="shared" si="2"/>
        <v>0.317808741015142</v>
      </c>
      <c r="I48" s="572">
        <f>Camber!F$91</f>
        <v>0.36861999999999995</v>
      </c>
      <c r="J48" s="567">
        <v>0.37</v>
      </c>
      <c r="K48" s="572">
        <f t="shared" si="7"/>
        <v>11.216428741015143</v>
      </c>
    </row>
    <row r="49" spans="1:12" x14ac:dyDescent="0.2">
      <c r="A49" s="674"/>
      <c r="B49" s="511" t="s">
        <v>734</v>
      </c>
      <c r="C49" s="515">
        <f>'Rdwy Geometry'!C214</f>
        <v>17637.919999999998</v>
      </c>
      <c r="D49" s="516">
        <f>C49-$C$47</f>
        <v>45.179999999996653</v>
      </c>
      <c r="E49" s="516">
        <f>'Rdwy Geometry'!J214</f>
        <v>758.3469723437305</v>
      </c>
      <c r="F49" s="516">
        <f t="shared" si="10"/>
        <v>758.31650887533101</v>
      </c>
      <c r="G49" s="578">
        <f t="shared" si="11"/>
        <v>3.0463468399489102E-2</v>
      </c>
      <c r="H49" s="563">
        <f t="shared" si="2"/>
        <v>0.36556162079386922</v>
      </c>
      <c r="I49" s="572">
        <f>Camber!G$91</f>
        <v>0</v>
      </c>
      <c r="J49" s="567">
        <v>0.37</v>
      </c>
      <c r="K49" s="572">
        <f t="shared" si="7"/>
        <v>10.89556162079387</v>
      </c>
    </row>
    <row r="50" spans="1:12" x14ac:dyDescent="0.2">
      <c r="A50" s="674"/>
      <c r="B50" s="511" t="s">
        <v>735</v>
      </c>
      <c r="C50" s="515">
        <f>'Rdwy Geometry'!C233</f>
        <v>17660.52</v>
      </c>
      <c r="D50" s="516">
        <f>C50-$C$47</f>
        <v>67.779999999998836</v>
      </c>
      <c r="E50" s="516">
        <f>'Rdwy Geometry'!J233</f>
        <v>758.18964256680999</v>
      </c>
      <c r="F50" s="516">
        <f t="shared" si="10"/>
        <v>758.16130206585069</v>
      </c>
      <c r="G50" s="578">
        <f t="shared" si="11"/>
        <v>2.8340500959302517E-2</v>
      </c>
      <c r="H50" s="563">
        <f t="shared" si="2"/>
        <v>0.3400860115116302</v>
      </c>
      <c r="I50" s="572">
        <f>Camber!H$91</f>
        <v>0.36861999999999995</v>
      </c>
      <c r="J50" s="567">
        <v>0.37</v>
      </c>
      <c r="K50" s="572">
        <f t="shared" si="7"/>
        <v>11.238706011511631</v>
      </c>
    </row>
    <row r="51" spans="1:12" ht="13.5" thickBot="1" x14ac:dyDescent="0.25">
      <c r="A51" s="675"/>
      <c r="B51" s="512" t="s">
        <v>478</v>
      </c>
      <c r="C51" s="517">
        <f>'Rdwy Geometry'!C251</f>
        <v>17683.12</v>
      </c>
      <c r="D51" s="518">
        <f>C51-$C$47</f>
        <v>90.379999999997381</v>
      </c>
      <c r="E51" s="518">
        <f>'Rdwy Geometry'!J251</f>
        <v>758.00609525637049</v>
      </c>
      <c r="F51" s="518">
        <f t="shared" si="10"/>
        <v>758.00609525637049</v>
      </c>
      <c r="G51" s="579">
        <f t="shared" si="11"/>
        <v>0</v>
      </c>
      <c r="H51" s="564">
        <f t="shared" si="2"/>
        <v>0</v>
      </c>
      <c r="I51" s="573">
        <f>Camber!I$91</f>
        <v>1.8096199999999998</v>
      </c>
      <c r="J51" s="568">
        <v>0</v>
      </c>
      <c r="K51" s="574">
        <f t="shared" si="7"/>
        <v>12.709620000000001</v>
      </c>
    </row>
    <row r="52" spans="1:12" x14ac:dyDescent="0.2">
      <c r="A52" s="673" t="s">
        <v>742</v>
      </c>
      <c r="B52" s="510" t="s">
        <v>477</v>
      </c>
      <c r="C52" s="513">
        <f>'Rdwy Geometry'!C177</f>
        <v>17595.54</v>
      </c>
      <c r="D52" s="514">
        <v>0</v>
      </c>
      <c r="E52" s="514">
        <f>'Rdwy Geometry'!J177</f>
        <v>758.25118620007822</v>
      </c>
      <c r="F52" s="514">
        <f>E$52+(E$52-E$56)/(D$52-D$56)*D52</f>
        <v>758.25118620007822</v>
      </c>
      <c r="G52" s="577">
        <f>E52-F52</f>
        <v>0</v>
      </c>
      <c r="H52" s="562">
        <f>G52*12</f>
        <v>0</v>
      </c>
      <c r="I52" s="571">
        <f>Camber!E$91</f>
        <v>1.8096199999999998</v>
      </c>
      <c r="J52" s="569">
        <v>0</v>
      </c>
      <c r="K52" s="575">
        <f>B$13+H52+I$25+I52-J52</f>
        <v>12.729620000000001</v>
      </c>
    </row>
    <row r="53" spans="1:12" x14ac:dyDescent="0.2">
      <c r="A53" s="674"/>
      <c r="B53" s="511" t="s">
        <v>733</v>
      </c>
      <c r="C53" s="515">
        <f>'Rdwy Geometry'!C196</f>
        <v>17618.189999999999</v>
      </c>
      <c r="D53" s="516">
        <f>C53-$C$52</f>
        <v>22.649999999997817</v>
      </c>
      <c r="E53" s="516">
        <f>'Rdwy Geometry'!J196</f>
        <v>758.11875790490319</v>
      </c>
      <c r="F53" s="516">
        <f t="shared" ref="F53:F56" si="12">E$52+(E$52-E$56)/(D$52-D$56)*D53</f>
        <v>758.11659343682936</v>
      </c>
      <c r="G53" s="578">
        <f t="shared" ref="G53:G56" si="13">E53-F53</f>
        <v>2.1644680738290845E-3</v>
      </c>
      <c r="H53" s="563">
        <f t="shared" si="2"/>
        <v>2.5973616885949014E-2</v>
      </c>
      <c r="I53" s="572">
        <f>Camber!F$91</f>
        <v>0.36861999999999995</v>
      </c>
      <c r="J53" s="567">
        <v>0</v>
      </c>
      <c r="K53" s="572">
        <f>B$13+H53+I$25+I53-J53</f>
        <v>11.314593616885949</v>
      </c>
    </row>
    <row r="54" spans="1:12" x14ac:dyDescent="0.2">
      <c r="A54" s="674"/>
      <c r="B54" s="511" t="s">
        <v>734</v>
      </c>
      <c r="C54" s="515">
        <f>'Rdwy Geometry'!C215</f>
        <v>17640.84</v>
      </c>
      <c r="D54" s="516">
        <f>C54-$C$52</f>
        <v>45.299999999999272</v>
      </c>
      <c r="E54" s="516">
        <f>'Rdwy Geometry'!J215</f>
        <v>757.98066597792547</v>
      </c>
      <c r="F54" s="516">
        <f t="shared" si="12"/>
        <v>757.9820006735805</v>
      </c>
      <c r="G54" s="578">
        <f t="shared" si="13"/>
        <v>-1.334695655032192E-3</v>
      </c>
      <c r="H54" s="563">
        <f t="shared" si="2"/>
        <v>-1.6016347860386304E-2</v>
      </c>
      <c r="I54" s="572">
        <f>Camber!G$91</f>
        <v>0</v>
      </c>
      <c r="J54" s="567">
        <v>0</v>
      </c>
      <c r="K54" s="572">
        <f>B$13+H54+I$25+I54-J54</f>
        <v>10.903983652139614</v>
      </c>
      <c r="L54" s="39"/>
    </row>
    <row r="55" spans="1:12" x14ac:dyDescent="0.2">
      <c r="A55" s="674"/>
      <c r="B55" s="511" t="s">
        <v>735</v>
      </c>
      <c r="C55" s="515">
        <f>'Rdwy Geometry'!C234</f>
        <v>17663.5</v>
      </c>
      <c r="D55" s="516">
        <f>C55-$C$52</f>
        <v>67.959999999999127</v>
      </c>
      <c r="E55" s="516">
        <f>'Rdwy Geometry'!J234</f>
        <v>757.85998818062023</v>
      </c>
      <c r="F55" s="516">
        <f t="shared" si="12"/>
        <v>757.84734848747814</v>
      </c>
      <c r="G55" s="578">
        <f t="shared" si="13"/>
        <v>1.2639693142091346E-2</v>
      </c>
      <c r="H55" s="563">
        <f t="shared" si="2"/>
        <v>0.15167631770509615</v>
      </c>
      <c r="I55" s="572">
        <f>Camber!H$91</f>
        <v>0.36861999999999995</v>
      </c>
      <c r="J55" s="567">
        <v>0</v>
      </c>
      <c r="K55" s="572">
        <f>B$13+H55+I$25+I55-J55</f>
        <v>11.440296317705096</v>
      </c>
    </row>
    <row r="56" spans="1:12" ht="13.5" thickBot="1" x14ac:dyDescent="0.25">
      <c r="A56" s="675"/>
      <c r="B56" s="512" t="s">
        <v>478</v>
      </c>
      <c r="C56" s="517">
        <f>'Rdwy Geometry'!C252</f>
        <v>17686.16</v>
      </c>
      <c r="D56" s="518">
        <f>C56-$C$52</f>
        <v>90.619999999998981</v>
      </c>
      <c r="E56" s="518">
        <f>'Rdwy Geometry'!J252</f>
        <v>757.71269630137579</v>
      </c>
      <c r="F56" s="518">
        <f t="shared" si="12"/>
        <v>757.71269630137579</v>
      </c>
      <c r="G56" s="579">
        <f t="shared" si="13"/>
        <v>0</v>
      </c>
      <c r="H56" s="564">
        <f t="shared" si="2"/>
        <v>0</v>
      </c>
      <c r="I56" s="574">
        <f>Camber!I$91</f>
        <v>1.8096199999999998</v>
      </c>
      <c r="J56" s="570">
        <v>0</v>
      </c>
      <c r="K56" s="573">
        <f>B$13+H56+I$25+I56-J56</f>
        <v>12.729620000000001</v>
      </c>
    </row>
    <row r="57" spans="1:12" x14ac:dyDescent="0.2">
      <c r="A57" s="673" t="s">
        <v>743</v>
      </c>
      <c r="B57" s="510" t="s">
        <v>477</v>
      </c>
      <c r="C57" s="513">
        <f>'Rdwy Geometry'!C178</f>
        <v>17598.36</v>
      </c>
      <c r="D57" s="514">
        <v>0</v>
      </c>
      <c r="E57" s="514">
        <f>'Rdwy Geometry'!J178</f>
        <v>757.87507688765083</v>
      </c>
      <c r="F57" s="514">
        <f>E$57+(E$57-E$61)/(D$57-D$61)*D57</f>
        <v>757.87507688765083</v>
      </c>
      <c r="G57" s="577">
        <f>E57-F57</f>
        <v>0</v>
      </c>
      <c r="H57" s="562">
        <f>G57*12</f>
        <v>0</v>
      </c>
      <c r="I57" s="575">
        <f>Camber!E$91</f>
        <v>1.8096199999999998</v>
      </c>
      <c r="J57" s="566">
        <v>0</v>
      </c>
      <c r="K57" s="571">
        <f>B$13+H57+J$25+I57-J57</f>
        <v>13.049620000000001</v>
      </c>
    </row>
    <row r="58" spans="1:12" x14ac:dyDescent="0.2">
      <c r="A58" s="674"/>
      <c r="B58" s="511" t="s">
        <v>733</v>
      </c>
      <c r="C58" s="515">
        <f>'Rdwy Geometry'!C197</f>
        <v>17621.060000000001</v>
      </c>
      <c r="D58" s="516">
        <f>C58-$C$57</f>
        <v>22.700000000000728</v>
      </c>
      <c r="E58" s="516">
        <f>'Rdwy Geometry'!J197</f>
        <v>757.73888041527812</v>
      </c>
      <c r="F58" s="516">
        <f t="shared" ref="F58:F61" si="14">E$57+(E$57-E$61)/(D$57-D$61)*D58</f>
        <v>757.76375972220933</v>
      </c>
      <c r="G58" s="578">
        <f t="shared" ref="G58:G61" si="15">E58-F58</f>
        <v>-2.4879306931211431E-2</v>
      </c>
      <c r="H58" s="563">
        <f t="shared" si="2"/>
        <v>-0.29855168317453717</v>
      </c>
      <c r="I58" s="572">
        <f>Camber!F$91</f>
        <v>0.36861999999999995</v>
      </c>
      <c r="J58" s="567">
        <v>0</v>
      </c>
      <c r="K58" s="572">
        <f>B$13+H58+J$25+I58-J58</f>
        <v>11.310068316825463</v>
      </c>
    </row>
    <row r="59" spans="1:12" x14ac:dyDescent="0.2">
      <c r="A59" s="674"/>
      <c r="B59" s="511" t="s">
        <v>734</v>
      </c>
      <c r="C59" s="515">
        <f>'Rdwy Geometry'!C216</f>
        <v>17643.77</v>
      </c>
      <c r="D59" s="516">
        <f>C59-$C$57</f>
        <v>45.409999999999854</v>
      </c>
      <c r="E59" s="516">
        <f>'Rdwy Geometry'!J216</f>
        <v>757.62432973286741</v>
      </c>
      <c r="F59" s="516">
        <f t="shared" si="14"/>
        <v>757.65239351836885</v>
      </c>
      <c r="G59" s="578">
        <f t="shared" si="15"/>
        <v>-2.8063785501444727E-2</v>
      </c>
      <c r="H59" s="563">
        <f t="shared" si="2"/>
        <v>-0.33676542601733672</v>
      </c>
      <c r="I59" s="572">
        <f>Camber!G$91</f>
        <v>0</v>
      </c>
      <c r="J59" s="567">
        <v>0</v>
      </c>
      <c r="K59" s="572">
        <f>B$13+H59+J$25+I59-J59</f>
        <v>10.903234573982663</v>
      </c>
    </row>
    <row r="60" spans="1:12" x14ac:dyDescent="0.2">
      <c r="A60" s="674"/>
      <c r="B60" s="511" t="s">
        <v>735</v>
      </c>
      <c r="C60" s="515">
        <f>'Rdwy Geometry'!C235</f>
        <v>17666.490000000002</v>
      </c>
      <c r="D60" s="516">
        <f>C60-$C$57</f>
        <v>68.130000000001019</v>
      </c>
      <c r="E60" s="516">
        <f>'Rdwy Geometry'!J235</f>
        <v>757.54044803627221</v>
      </c>
      <c r="F60" s="516">
        <f t="shared" si="14"/>
        <v>757.54097827612964</v>
      </c>
      <c r="G60" s="578">
        <f t="shared" si="15"/>
        <v>-5.3023985742584046E-4</v>
      </c>
      <c r="H60" s="563">
        <f t="shared" si="2"/>
        <v>-6.3628782891100855E-3</v>
      </c>
      <c r="I60" s="572">
        <f>Camber!H$91</f>
        <v>0.36861999999999995</v>
      </c>
      <c r="J60" s="567">
        <v>0</v>
      </c>
      <c r="K60" s="572">
        <f>B$13+H60+J$25+I60-J60</f>
        <v>11.60225712171089</v>
      </c>
    </row>
    <row r="61" spans="1:12" ht="13.5" thickBot="1" x14ac:dyDescent="0.25">
      <c r="A61" s="675"/>
      <c r="B61" s="512" t="s">
        <v>478</v>
      </c>
      <c r="C61" s="517">
        <f>'Rdwy Geometry'!C253</f>
        <v>17689.21</v>
      </c>
      <c r="D61" s="518">
        <f>C61-$C$57</f>
        <v>90.849999999998545</v>
      </c>
      <c r="E61" s="518">
        <f>'Rdwy Geometry'!J253</f>
        <v>757.4295630338903</v>
      </c>
      <c r="F61" s="518">
        <f t="shared" si="14"/>
        <v>757.4295630338903</v>
      </c>
      <c r="G61" s="579">
        <f t="shared" si="15"/>
        <v>0</v>
      </c>
      <c r="H61" s="564">
        <f t="shared" si="2"/>
        <v>0</v>
      </c>
      <c r="I61" s="573">
        <f>Camber!I$91</f>
        <v>1.8096199999999998</v>
      </c>
      <c r="J61" s="568">
        <v>0</v>
      </c>
      <c r="K61" s="574">
        <f>B$13+H61+J$25+I61-J61</f>
        <v>13.049620000000001</v>
      </c>
    </row>
    <row r="62" spans="1:12" x14ac:dyDescent="0.2">
      <c r="A62" s="673" t="s">
        <v>744</v>
      </c>
      <c r="B62" s="510" t="s">
        <v>477</v>
      </c>
      <c r="C62" s="513">
        <f>'Rdwy Geometry'!C179</f>
        <v>17601.18</v>
      </c>
      <c r="D62" s="514">
        <v>0</v>
      </c>
      <c r="E62" s="514">
        <f>'Rdwy Geometry'!J179</f>
        <v>757.49853169823098</v>
      </c>
      <c r="F62" s="514">
        <f>E$62+(E$62-E$66)/(D$62-D$66)*D62</f>
        <v>757.49853169823098</v>
      </c>
      <c r="G62" s="577">
        <f>E62-F62</f>
        <v>0</v>
      </c>
      <c r="H62" s="562">
        <f>G62*12</f>
        <v>0</v>
      </c>
      <c r="I62" s="571">
        <f>Camber!E$106</f>
        <v>1.9946199999999996</v>
      </c>
      <c r="J62" s="569">
        <v>0</v>
      </c>
      <c r="K62" s="575">
        <f>B$13+H62+K$25+I62-J62</f>
        <v>13.494619999999999</v>
      </c>
    </row>
    <row r="63" spans="1:12" x14ac:dyDescent="0.2">
      <c r="A63" s="674"/>
      <c r="B63" s="511" t="s">
        <v>733</v>
      </c>
      <c r="C63" s="515">
        <f>'Rdwy Geometry'!C198</f>
        <v>17623.95</v>
      </c>
      <c r="D63" s="516">
        <f>C63-$C$62</f>
        <v>22.770000000000437</v>
      </c>
      <c r="E63" s="516">
        <f>'Rdwy Geometry'!J198</f>
        <v>757.35843743121586</v>
      </c>
      <c r="F63" s="516">
        <f t="shared" ref="F63:F66" si="16">E$62+(E$62-E$66)/(D$62-D$66)*D63</f>
        <v>757.41309340693681</v>
      </c>
      <c r="G63" s="578">
        <f t="shared" ref="G63:G66" si="17">E63-F63</f>
        <v>-5.4655975720947936E-2</v>
      </c>
      <c r="H63" s="563">
        <f t="shared" si="2"/>
        <v>-0.65587170865137523</v>
      </c>
      <c r="I63" s="572">
        <f>Camber!F$106</f>
        <v>0.42061999999999977</v>
      </c>
      <c r="J63" s="567">
        <v>0</v>
      </c>
      <c r="K63" s="572">
        <f>B$13+H63+K$25+I63-J63</f>
        <v>11.264748291348624</v>
      </c>
    </row>
    <row r="64" spans="1:12" x14ac:dyDescent="0.2">
      <c r="A64" s="674"/>
      <c r="B64" s="511" t="s">
        <v>734</v>
      </c>
      <c r="C64" s="515">
        <f>'Rdwy Geometry'!C217</f>
        <v>17646.72</v>
      </c>
      <c r="D64" s="516">
        <f>C64-$C$62</f>
        <v>45.540000000000873</v>
      </c>
      <c r="E64" s="516">
        <f>'Rdwy Geometry'!J217</f>
        <v>757.27799489489735</v>
      </c>
      <c r="F64" s="516">
        <f t="shared" si="16"/>
        <v>757.32765511564264</v>
      </c>
      <c r="G64" s="578">
        <f t="shared" si="17"/>
        <v>-4.9660220745295192E-2</v>
      </c>
      <c r="H64" s="563">
        <f t="shared" si="2"/>
        <v>-0.5959226489435423</v>
      </c>
      <c r="I64" s="572">
        <f>Camber!G$106</f>
        <v>0</v>
      </c>
      <c r="J64" s="567">
        <v>0</v>
      </c>
      <c r="K64" s="572">
        <f>B$13+H64+K$25+I64-J64</f>
        <v>10.904077351056458</v>
      </c>
    </row>
    <row r="65" spans="1:11" x14ac:dyDescent="0.2">
      <c r="A65" s="674"/>
      <c r="B65" s="511" t="s">
        <v>735</v>
      </c>
      <c r="C65" s="515">
        <f>'Rdwy Geometry'!C236</f>
        <v>17669.5</v>
      </c>
      <c r="D65" s="516">
        <f>C65-$C$62</f>
        <v>68.319999999999709</v>
      </c>
      <c r="E65" s="516">
        <f>'Rdwy Geometry'!J236</f>
        <v>757.23104884593477</v>
      </c>
      <c r="F65" s="516">
        <f t="shared" si="16"/>
        <v>757.24217930204236</v>
      </c>
      <c r="G65" s="578">
        <f t="shared" si="17"/>
        <v>-1.1130456107594E-2</v>
      </c>
      <c r="H65" s="563">
        <f t="shared" si="2"/>
        <v>-0.133565473291128</v>
      </c>
      <c r="I65" s="572">
        <f>Camber!H$106</f>
        <v>0.42061999999999977</v>
      </c>
      <c r="J65" s="567">
        <v>0</v>
      </c>
      <c r="K65" s="572">
        <f>B$13+H65+K$25+I65-J65</f>
        <v>11.787054526708872</v>
      </c>
    </row>
    <row r="66" spans="1:11" ht="13.5" thickBot="1" x14ac:dyDescent="0.25">
      <c r="A66" s="675"/>
      <c r="B66" s="512" t="s">
        <v>478</v>
      </c>
      <c r="C66" s="517">
        <f>'Rdwy Geometry'!C254</f>
        <v>17692.28</v>
      </c>
      <c r="D66" s="518">
        <f>C66-$C$62</f>
        <v>91.099999999998545</v>
      </c>
      <c r="E66" s="518">
        <f>'Rdwy Geometry'!J254</f>
        <v>757.15670348844196</v>
      </c>
      <c r="F66" s="518">
        <f t="shared" si="16"/>
        <v>757.15670348844196</v>
      </c>
      <c r="G66" s="579">
        <f t="shared" si="17"/>
        <v>0</v>
      </c>
      <c r="H66" s="564">
        <f t="shared" si="2"/>
        <v>0</v>
      </c>
      <c r="I66" s="574">
        <f>Camber!I$106</f>
        <v>1.9946199999999996</v>
      </c>
      <c r="J66" s="568">
        <v>0</v>
      </c>
      <c r="K66" s="574">
        <f>B$13+H66+K$25+I66-J66</f>
        <v>13.494619999999999</v>
      </c>
    </row>
  </sheetData>
  <mergeCells count="18">
    <mergeCell ref="A1:K1"/>
    <mergeCell ref="A2:K2"/>
    <mergeCell ref="A3:K3"/>
    <mergeCell ref="C29:C31"/>
    <mergeCell ref="D29:D31"/>
    <mergeCell ref="E29:E31"/>
    <mergeCell ref="F29:F31"/>
    <mergeCell ref="G29:H30"/>
    <mergeCell ref="I29:I31"/>
    <mergeCell ref="J29:J31"/>
    <mergeCell ref="A57:A61"/>
    <mergeCell ref="A62:A66"/>
    <mergeCell ref="K29:K31"/>
    <mergeCell ref="A32:A36"/>
    <mergeCell ref="A37:A41"/>
    <mergeCell ref="A42:A46"/>
    <mergeCell ref="A47:A51"/>
    <mergeCell ref="A52:A56"/>
  </mergeCells>
  <pageMargins left="0.7" right="0.7" top="0.75" bottom="0.75" header="0.3" footer="0.3"/>
  <pageSetup scale="78"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47"/>
  <sheetViews>
    <sheetView workbookViewId="0">
      <selection activeCell="J13" sqref="J13"/>
    </sheetView>
  </sheetViews>
  <sheetFormatPr defaultRowHeight="12.75" x14ac:dyDescent="0.2"/>
  <cols>
    <col min="1" max="13" width="11.7109375" customWidth="1"/>
  </cols>
  <sheetData>
    <row r="1" spans="1:14" ht="20.25" x14ac:dyDescent="0.3">
      <c r="A1" s="658" t="s">
        <v>81</v>
      </c>
      <c r="B1" s="658"/>
      <c r="C1" s="658"/>
      <c r="D1" s="658"/>
      <c r="E1" s="658"/>
      <c r="F1" s="658"/>
      <c r="G1" s="658"/>
      <c r="H1" s="658"/>
      <c r="I1" s="658"/>
      <c r="J1" s="658"/>
      <c r="K1" s="658"/>
    </row>
    <row r="2" spans="1:14" ht="18" x14ac:dyDescent="0.25">
      <c r="A2" s="659" t="s">
        <v>712</v>
      </c>
      <c r="B2" s="659"/>
      <c r="C2" s="659"/>
      <c r="D2" s="659"/>
      <c r="E2" s="659"/>
      <c r="F2" s="659"/>
      <c r="G2" s="659"/>
      <c r="H2" s="659"/>
      <c r="I2" s="659"/>
      <c r="J2" s="659"/>
      <c r="K2" s="659"/>
    </row>
    <row r="3" spans="1:14" ht="15.75" x14ac:dyDescent="0.25">
      <c r="A3" s="660" t="s">
        <v>711</v>
      </c>
      <c r="B3" s="660"/>
      <c r="C3" s="660"/>
      <c r="D3" s="660"/>
      <c r="E3" s="660"/>
      <c r="F3" s="660"/>
      <c r="G3" s="660"/>
      <c r="H3" s="660"/>
      <c r="I3" s="660"/>
      <c r="J3" s="660"/>
      <c r="K3" s="660"/>
    </row>
    <row r="4" spans="1:14" x14ac:dyDescent="0.2">
      <c r="A4" s="462"/>
      <c r="B4" s="462"/>
      <c r="C4" s="17" t="s">
        <v>13</v>
      </c>
      <c r="D4" s="462" t="s">
        <v>710</v>
      </c>
      <c r="E4" s="17" t="s">
        <v>15</v>
      </c>
      <c r="F4" s="25">
        <v>41960</v>
      </c>
      <c r="G4" s="462"/>
      <c r="H4" s="17" t="s">
        <v>28</v>
      </c>
      <c r="I4" s="25"/>
      <c r="J4" s="462"/>
      <c r="K4" s="462"/>
    </row>
    <row r="5" spans="1:14" ht="12.75" customHeight="1" x14ac:dyDescent="0.2">
      <c r="A5" s="462"/>
      <c r="B5" s="462"/>
      <c r="C5" s="17" t="s">
        <v>14</v>
      </c>
      <c r="D5" s="462" t="s">
        <v>848</v>
      </c>
      <c r="E5" s="17" t="s">
        <v>15</v>
      </c>
      <c r="F5" s="826">
        <v>42030</v>
      </c>
      <c r="G5" s="462"/>
      <c r="H5" s="462"/>
      <c r="I5" s="462"/>
      <c r="J5" s="462"/>
      <c r="K5" s="462"/>
    </row>
    <row r="6" spans="1:14" ht="12.75" customHeight="1" x14ac:dyDescent="0.2">
      <c r="A6" s="462"/>
      <c r="B6" s="462"/>
      <c r="C6" s="17"/>
      <c r="D6" s="462"/>
      <c r="E6" s="17"/>
      <c r="F6" s="25"/>
      <c r="G6" s="462"/>
      <c r="H6" s="462"/>
      <c r="I6" s="462"/>
      <c r="J6" s="462"/>
      <c r="K6" s="462"/>
    </row>
    <row r="7" spans="1:14" ht="12.75" customHeight="1" x14ac:dyDescent="0.2">
      <c r="A7" s="462"/>
      <c r="B7" s="462"/>
      <c r="C7" s="17"/>
      <c r="D7" s="462"/>
      <c r="E7" s="17"/>
      <c r="F7" s="25"/>
      <c r="G7" s="462"/>
      <c r="H7" s="462"/>
      <c r="I7" s="462"/>
      <c r="J7" s="462"/>
      <c r="K7" s="462"/>
    </row>
    <row r="8" spans="1:14" ht="15.95" customHeight="1" x14ac:dyDescent="0.2">
      <c r="A8" s="698" t="s">
        <v>811</v>
      </c>
      <c r="B8" s="698"/>
      <c r="C8" s="698"/>
      <c r="D8" s="698"/>
      <c r="E8" s="698"/>
      <c r="F8" s="698"/>
      <c r="G8" s="698"/>
      <c r="H8" s="595"/>
      <c r="I8" s="595"/>
      <c r="J8" s="595"/>
      <c r="K8" s="595"/>
      <c r="L8" s="595"/>
      <c r="M8" s="591"/>
      <c r="N8" s="591"/>
    </row>
    <row r="9" spans="1:14" ht="15.95" customHeight="1" x14ac:dyDescent="0.2"/>
    <row r="10" spans="1:14" s="8" customFormat="1" ht="15.95" customHeight="1" x14ac:dyDescent="0.2"/>
    <row r="11" spans="1:14" s="8" customFormat="1" ht="15.95" customHeight="1" x14ac:dyDescent="0.2">
      <c r="A11" s="695" t="s">
        <v>821</v>
      </c>
      <c r="B11" s="696"/>
      <c r="C11" s="696"/>
      <c r="D11" s="696"/>
      <c r="E11" s="696"/>
      <c r="F11" s="696"/>
      <c r="G11" s="697"/>
    </row>
    <row r="12" spans="1:14" s="8" customFormat="1" ht="15.95" customHeight="1" x14ac:dyDescent="0.2">
      <c r="A12" s="701" t="s">
        <v>812</v>
      </c>
      <c r="B12" s="702"/>
      <c r="C12" s="705" t="s">
        <v>46</v>
      </c>
      <c r="D12" s="700">
        <v>0.25</v>
      </c>
      <c r="E12" s="700">
        <v>0.5</v>
      </c>
      <c r="F12" s="700">
        <v>0.75</v>
      </c>
      <c r="G12" s="699" t="s">
        <v>48</v>
      </c>
    </row>
    <row r="13" spans="1:14" s="8" customFormat="1" ht="15.95" customHeight="1" x14ac:dyDescent="0.2">
      <c r="A13" s="703"/>
      <c r="B13" s="704"/>
      <c r="C13" s="705"/>
      <c r="D13" s="700"/>
      <c r="E13" s="700"/>
      <c r="F13" s="700"/>
      <c r="G13" s="700"/>
    </row>
    <row r="14" spans="1:14" s="8" customFormat="1" ht="15.95" customHeight="1" x14ac:dyDescent="0.2">
      <c r="A14" s="694" t="s">
        <v>813</v>
      </c>
      <c r="B14" s="592" t="s">
        <v>814</v>
      </c>
      <c r="C14" s="593">
        <f>'Rdwy Geometry'!C$170</f>
        <v>17583.830000000002</v>
      </c>
      <c r="D14" s="593">
        <f>'Rdwy Geometry'!C$189</f>
        <v>17606.22</v>
      </c>
      <c r="E14" s="593">
        <f>'Rdwy Geometry'!C$208</f>
        <v>17628.63</v>
      </c>
      <c r="F14" s="593">
        <f>'Rdwy Geometry'!C$227</f>
        <v>17651.04</v>
      </c>
      <c r="G14" s="593">
        <f>'Rdwy Geometry'!C$245</f>
        <v>17673.45</v>
      </c>
    </row>
    <row r="15" spans="1:14" s="8" customFormat="1" ht="15.95" customHeight="1" x14ac:dyDescent="0.2">
      <c r="A15" s="694"/>
      <c r="B15" s="592" t="s">
        <v>815</v>
      </c>
      <c r="C15" s="594">
        <f>'Rdwy Geometry'!J$170</f>
        <v>758.9238251830327</v>
      </c>
      <c r="D15" s="594">
        <f>'Rdwy Geometry'!J$189</f>
        <v>758.80744031663096</v>
      </c>
      <c r="E15" s="594">
        <f>'Rdwy Geometry'!J$208</f>
        <v>758.6604917952809</v>
      </c>
      <c r="F15" s="594">
        <f>'Rdwy Geometry'!J$227</f>
        <v>758.43667894624059</v>
      </c>
      <c r="G15" s="594">
        <f>'Rdwy Geometry'!J$245</f>
        <v>758.18634440300559</v>
      </c>
    </row>
    <row r="16" spans="1:14" s="8" customFormat="1" ht="15.95" customHeight="1" x14ac:dyDescent="0.2">
      <c r="A16" s="694"/>
      <c r="B16" s="592" t="s">
        <v>816</v>
      </c>
      <c r="C16" s="594">
        <f>'Rdwy Geometry'!K$170</f>
        <v>758.9238251830327</v>
      </c>
      <c r="D16" s="594">
        <f>'Rdwy Geometry'!K$189</f>
        <v>758.8800236499643</v>
      </c>
      <c r="E16" s="594">
        <f>'Rdwy Geometry'!K$208</f>
        <v>758.76240846194753</v>
      </c>
      <c r="F16" s="594">
        <f>'Rdwy Geometry'!K$227</f>
        <v>758.50926227957393</v>
      </c>
      <c r="G16" s="594">
        <f>'Rdwy Geometry'!K$245</f>
        <v>758.18634440300559</v>
      </c>
    </row>
    <row r="17" spans="1:7" s="8" customFormat="1" ht="15.95" customHeight="1" x14ac:dyDescent="0.2">
      <c r="A17" s="694" t="s">
        <v>732</v>
      </c>
      <c r="B17" s="592" t="s">
        <v>814</v>
      </c>
      <c r="C17" s="593">
        <f>'Rdwy Geometry'!C$171</f>
        <v>17584.43</v>
      </c>
      <c r="D17" s="593">
        <f>'Rdwy Geometry'!C$190</f>
        <v>17606.84</v>
      </c>
      <c r="E17" s="593">
        <f>'Rdwy Geometry'!C$209</f>
        <v>17629.259999999998</v>
      </c>
      <c r="F17" s="593">
        <f>'Rdwy Geometry'!C$228</f>
        <v>17651.68</v>
      </c>
      <c r="G17" s="593">
        <f>'Rdwy Geometry'!C$246</f>
        <v>17674.099999999999</v>
      </c>
    </row>
    <row r="18" spans="1:7" s="8" customFormat="1" ht="15.95" customHeight="1" x14ac:dyDescent="0.2">
      <c r="A18" s="694"/>
      <c r="B18" s="592" t="s">
        <v>815</v>
      </c>
      <c r="C18" s="594">
        <f>'Rdwy Geometry'!J$171</f>
        <v>759.00418214988508</v>
      </c>
      <c r="D18" s="594">
        <f>'Rdwy Geometry'!J$190</f>
        <v>758.88681800039774</v>
      </c>
      <c r="E18" s="594">
        <f>'Rdwy Geometry'!J$209</f>
        <v>758.73776273244425</v>
      </c>
      <c r="F18" s="594">
        <f>'Rdwy Geometry'!J$228</f>
        <v>758.51285133655506</v>
      </c>
      <c r="G18" s="594">
        <f>'Rdwy Geometry'!J$246</f>
        <v>758.26190233092996</v>
      </c>
    </row>
    <row r="19" spans="1:7" s="8" customFormat="1" ht="15.95" customHeight="1" x14ac:dyDescent="0.2">
      <c r="A19" s="694"/>
      <c r="B19" s="592" t="s">
        <v>817</v>
      </c>
      <c r="C19" s="594">
        <f>'Rdwy Geometry'!L$171</f>
        <v>758.29584881655171</v>
      </c>
      <c r="D19" s="594">
        <f>'Rdwy Geometry'!L$190</f>
        <v>758.25106800039771</v>
      </c>
      <c r="E19" s="594">
        <f>'Rdwy Geometry'!L$209</f>
        <v>758.13134606577751</v>
      </c>
      <c r="F19" s="594">
        <f>'Rdwy Geometry'!L$228</f>
        <v>757.87710133655503</v>
      </c>
      <c r="G19" s="594">
        <f>'Rdwy Geometry'!L$246</f>
        <v>757.55356899759659</v>
      </c>
    </row>
    <row r="20" spans="1:7" s="8" customFormat="1" ht="15.95" customHeight="1" x14ac:dyDescent="0.2">
      <c r="A20" s="693" t="s">
        <v>739</v>
      </c>
      <c r="B20" s="592" t="s">
        <v>814</v>
      </c>
      <c r="C20" s="593">
        <f>'Rdwy Geometry'!C$172</f>
        <v>17587.189999999999</v>
      </c>
      <c r="D20" s="593">
        <f>'Rdwy Geometry'!C$191</f>
        <v>17609.650000000001</v>
      </c>
      <c r="E20" s="593">
        <f>'Rdwy Geometry'!C$210</f>
        <v>17632.13</v>
      </c>
      <c r="F20" s="593">
        <f>'Rdwy Geometry'!C$229</f>
        <v>17654.61</v>
      </c>
      <c r="G20" s="593">
        <f>'Rdwy Geometry'!C$247</f>
        <v>17677.09</v>
      </c>
    </row>
    <row r="21" spans="1:7" s="8" customFormat="1" ht="15.95" customHeight="1" x14ac:dyDescent="0.2">
      <c r="A21" s="694"/>
      <c r="B21" s="592" t="s">
        <v>815</v>
      </c>
      <c r="C21" s="594">
        <f>'Rdwy Geometry'!J$172</f>
        <v>759.36981905888501</v>
      </c>
      <c r="D21" s="594">
        <f>'Rdwy Geometry'!J$191</f>
        <v>759.24871313043775</v>
      </c>
      <c r="E21" s="594">
        <f>'Rdwy Geometry'!J$210</f>
        <v>759.08898625123265</v>
      </c>
      <c r="F21" s="594">
        <f>'Rdwy Geometry'!J$229</f>
        <v>758.85991293418169</v>
      </c>
      <c r="G21" s="594">
        <f>'Rdwy Geometry'!J$247</f>
        <v>758.60541544822138</v>
      </c>
    </row>
    <row r="22" spans="1:7" s="8" customFormat="1" ht="15.95" customHeight="1" x14ac:dyDescent="0.2">
      <c r="A22" s="694"/>
      <c r="B22" s="592" t="s">
        <v>817</v>
      </c>
      <c r="C22" s="594">
        <f>'Rdwy Geometry'!L$172</f>
        <v>758.66148572555164</v>
      </c>
      <c r="D22" s="594">
        <f>'Rdwy Geometry'!L$191</f>
        <v>758.62404646377104</v>
      </c>
      <c r="E22" s="594">
        <f>'Rdwy Geometry'!L$210</f>
        <v>758.49798625123265</v>
      </c>
      <c r="F22" s="594">
        <f>'Rdwy Geometry'!L$229</f>
        <v>758.23524626751498</v>
      </c>
      <c r="G22" s="594">
        <f>'Rdwy Geometry'!L$247</f>
        <v>757.89708211488801</v>
      </c>
    </row>
    <row r="23" spans="1:7" s="8" customFormat="1" ht="15.95" customHeight="1" x14ac:dyDescent="0.2">
      <c r="A23" s="693" t="s">
        <v>818</v>
      </c>
      <c r="B23" s="592" t="s">
        <v>814</v>
      </c>
      <c r="C23" s="593">
        <f>'Rdwy Geometry'!C$173</f>
        <v>17587.310000000001</v>
      </c>
      <c r="D23" s="593">
        <f>'Rdwy Geometry'!C$192</f>
        <v>17609.78</v>
      </c>
      <c r="E23" s="593">
        <f>'Rdwy Geometry'!C$211</f>
        <v>17632.259999999998</v>
      </c>
      <c r="F23" s="593">
        <f>'Rdwy Geometry'!C$230</f>
        <v>17654.740000000002</v>
      </c>
      <c r="G23" s="593">
        <f>'Rdwy Geometry'!C$248</f>
        <v>17677.22</v>
      </c>
    </row>
    <row r="24" spans="1:7" s="8" customFormat="1" ht="15.95" customHeight="1" x14ac:dyDescent="0.2">
      <c r="A24" s="694"/>
      <c r="B24" s="592" t="s">
        <v>815</v>
      </c>
      <c r="C24" s="594">
        <f>'Rdwy Geometry'!J$173</f>
        <v>759.38564636413093</v>
      </c>
      <c r="D24" s="594">
        <f>'Rdwy Geometry'!J$192</f>
        <v>759.26430042745596</v>
      </c>
      <c r="E24" s="594">
        <f>'Rdwy Geometry'!J$211</f>
        <v>759.10405392955761</v>
      </c>
      <c r="F24" s="594">
        <f>'Rdwy Geometry'!J$230</f>
        <v>758.8752488237875</v>
      </c>
      <c r="G24" s="594">
        <f>'Rdwy Geometry'!J$248</f>
        <v>758.62056700924438</v>
      </c>
    </row>
    <row r="25" spans="1:7" s="8" customFormat="1" ht="15.95" customHeight="1" x14ac:dyDescent="0.2">
      <c r="A25" s="694"/>
      <c r="B25" s="592" t="s">
        <v>816</v>
      </c>
      <c r="C25" s="594">
        <f>'Rdwy Geometry'!K$173</f>
        <v>759.38564636413093</v>
      </c>
      <c r="D25" s="594">
        <f>'Rdwy Geometry'!K$192</f>
        <v>759.34796709412262</v>
      </c>
      <c r="E25" s="594">
        <f>'Rdwy Geometry'!K$211</f>
        <v>759.22138726289097</v>
      </c>
      <c r="F25" s="594">
        <f>'Rdwy Geometry'!K$230</f>
        <v>758.95891549045416</v>
      </c>
      <c r="G25" s="594">
        <f>'Rdwy Geometry'!K$248</f>
        <v>758.62056700924438</v>
      </c>
    </row>
    <row r="26" spans="1:7" s="8" customFormat="1" ht="15.95" customHeight="1" x14ac:dyDescent="0.2">
      <c r="A26" s="694" t="s">
        <v>740</v>
      </c>
      <c r="B26" s="592" t="s">
        <v>814</v>
      </c>
      <c r="C26" s="593">
        <f>'Rdwy Geometry'!C$174</f>
        <v>17589.96</v>
      </c>
      <c r="D26" s="593">
        <f>'Rdwy Geometry'!C$193</f>
        <v>17612.48</v>
      </c>
      <c r="E26" s="593">
        <f>'Rdwy Geometry'!C$212</f>
        <v>17635.02</v>
      </c>
      <c r="F26" s="593">
        <f>'Rdwy Geometry'!C$231</f>
        <v>17657.560000000001</v>
      </c>
      <c r="G26" s="593">
        <f>'Rdwy Geometry'!C$249</f>
        <v>17680.099999999999</v>
      </c>
    </row>
    <row r="27" spans="1:7" s="8" customFormat="1" ht="15.95" customHeight="1" x14ac:dyDescent="0.2">
      <c r="A27" s="694"/>
      <c r="B27" s="592" t="s">
        <v>815</v>
      </c>
      <c r="C27" s="594">
        <f>'Rdwy Geometry'!J$174</f>
        <v>759.00817417796497</v>
      </c>
      <c r="D27" s="594">
        <f>'Rdwy Geometry'!J$193</f>
        <v>758.88332647055768</v>
      </c>
      <c r="E27" s="594">
        <f>'Rdwy Geometry'!J$212</f>
        <v>758.7262183360624</v>
      </c>
      <c r="F27" s="594">
        <f>'Rdwy Geometry'!J$231</f>
        <v>758.53212331610962</v>
      </c>
      <c r="G27" s="594">
        <f>'Rdwy Geometry'!J$249</f>
        <v>758.31236047898506</v>
      </c>
    </row>
    <row r="28" spans="1:7" s="8" customFormat="1" ht="15.95" customHeight="1" x14ac:dyDescent="0.2">
      <c r="A28" s="694"/>
      <c r="B28" s="592" t="s">
        <v>817</v>
      </c>
      <c r="C28" s="594">
        <f>'Rdwy Geometry'!L$174</f>
        <v>758.2998408446316</v>
      </c>
      <c r="D28" s="594">
        <f>'Rdwy Geometry'!L$193</f>
        <v>758.25865980389096</v>
      </c>
      <c r="E28" s="594">
        <f>'Rdwy Geometry'!L$212</f>
        <v>758.13521833606239</v>
      </c>
      <c r="F28" s="594">
        <f>'Rdwy Geometry'!L$231</f>
        <v>757.90745664944291</v>
      </c>
      <c r="G28" s="594">
        <f>'Rdwy Geometry'!L$249</f>
        <v>757.60402714565168</v>
      </c>
    </row>
    <row r="29" spans="1:7" s="8" customFormat="1" ht="15.95" customHeight="1" x14ac:dyDescent="0.2">
      <c r="A29" s="693" t="s">
        <v>819</v>
      </c>
      <c r="B29" s="592" t="s">
        <v>814</v>
      </c>
      <c r="C29" s="593">
        <f>'Rdwy Geometry'!C$175</f>
        <v>17591.333999999999</v>
      </c>
      <c r="D29" s="593">
        <f>'Rdwy Geometry'!C$194</f>
        <v>17613.7</v>
      </c>
      <c r="E29" s="593">
        <f>'Rdwy Geometry'!C$213</f>
        <v>17636.11</v>
      </c>
      <c r="F29" s="593">
        <f>'Rdwy Geometry'!C$232</f>
        <v>17658.560000000001</v>
      </c>
      <c r="G29" s="593">
        <f>'Rdwy Geometry'!C$250</f>
        <v>17681.05</v>
      </c>
    </row>
    <row r="30" spans="1:7" s="8" customFormat="1" ht="15.95" customHeight="1" x14ac:dyDescent="0.2">
      <c r="A30" s="694"/>
      <c r="B30" s="592" t="s">
        <v>815</v>
      </c>
      <c r="C30" s="594">
        <f>'Rdwy Geometry'!J$175</f>
        <v>758.81681851475935</v>
      </c>
      <c r="D30" s="594">
        <f>'Rdwy Geometry'!J$194</f>
        <v>758.71506973286364</v>
      </c>
      <c r="E30" s="594">
        <f>'Rdwy Geometry'!J$213</f>
        <v>758.58058684104856</v>
      </c>
      <c r="F30" s="594">
        <f>'Rdwy Geometry'!J$232</f>
        <v>758.41321075277813</v>
      </c>
      <c r="G30" s="594">
        <f>'Rdwy Geometry'!J$250</f>
        <v>758.21276677439766</v>
      </c>
    </row>
    <row r="31" spans="1:7" s="8" customFormat="1" ht="15.95" customHeight="1" x14ac:dyDescent="0.2">
      <c r="A31" s="694"/>
      <c r="B31" s="592" t="s">
        <v>816</v>
      </c>
      <c r="C31" s="594">
        <f>'Rdwy Geometry'!K$175</f>
        <v>758.81681851475935</v>
      </c>
      <c r="D31" s="594">
        <f>'Rdwy Geometry'!K$194</f>
        <v>758.7987363995303</v>
      </c>
      <c r="E31" s="594">
        <f>'Rdwy Geometry'!K$213</f>
        <v>758.69792017438192</v>
      </c>
      <c r="F31" s="594">
        <f>'Rdwy Geometry'!K$232</f>
        <v>758.49687741944479</v>
      </c>
      <c r="G31" s="594">
        <f>'Rdwy Geometry'!K$250</f>
        <v>758.21276677439766</v>
      </c>
    </row>
    <row r="32" spans="1:7" s="8" customFormat="1" ht="15.95" customHeight="1" x14ac:dyDescent="0.2">
      <c r="A32" s="693" t="s">
        <v>741</v>
      </c>
      <c r="B32" s="592" t="s">
        <v>814</v>
      </c>
      <c r="C32" s="593">
        <f>'Rdwy Geometry'!C$176</f>
        <v>17592.740000000002</v>
      </c>
      <c r="D32" s="593">
        <f>'Rdwy Geometry'!C$195</f>
        <v>17615.330000000002</v>
      </c>
      <c r="E32" s="593">
        <f>'Rdwy Geometry'!C$214</f>
        <v>17637.919999999998</v>
      </c>
      <c r="F32" s="593">
        <f>'Rdwy Geometry'!C$233</f>
        <v>17660.52</v>
      </c>
      <c r="G32" s="593">
        <f>'Rdwy Geometry'!C$251</f>
        <v>17683.12</v>
      </c>
    </row>
    <row r="33" spans="1:7" s="8" customFormat="1" ht="15.95" customHeight="1" x14ac:dyDescent="0.2">
      <c r="A33" s="694"/>
      <c r="B33" s="592" t="s">
        <v>815</v>
      </c>
      <c r="C33" s="594">
        <f>'Rdwy Geometry'!J$176</f>
        <v>758.62678514313268</v>
      </c>
      <c r="D33" s="594">
        <f>'Rdwy Geometry'!J$195</f>
        <v>758.49813107098305</v>
      </c>
      <c r="E33" s="594">
        <f>'Rdwy Geometry'!J$214</f>
        <v>758.3469723437305</v>
      </c>
      <c r="F33" s="594">
        <f>'Rdwy Geometry'!J$233</f>
        <v>758.18964256680999</v>
      </c>
      <c r="G33" s="594">
        <f>'Rdwy Geometry'!J$251</f>
        <v>758.00609525637049</v>
      </c>
    </row>
    <row r="34" spans="1:7" s="8" customFormat="1" ht="15.95" customHeight="1" x14ac:dyDescent="0.2">
      <c r="A34" s="694"/>
      <c r="B34" s="592" t="s">
        <v>817</v>
      </c>
      <c r="C34" s="594">
        <f>'Rdwy Geometry'!L$176</f>
        <v>757.91845180979931</v>
      </c>
      <c r="D34" s="594">
        <f>'Rdwy Geometry'!L$195</f>
        <v>757.87346440431634</v>
      </c>
      <c r="E34" s="594">
        <f>'Rdwy Geometry'!L$214</f>
        <v>757.75597234373049</v>
      </c>
      <c r="F34" s="594">
        <f>'Rdwy Geometry'!L$233</f>
        <v>757.56497590014328</v>
      </c>
      <c r="G34" s="594">
        <f>'Rdwy Geometry'!L$251</f>
        <v>757.29776192303711</v>
      </c>
    </row>
    <row r="35" spans="1:7" s="8" customFormat="1" ht="15.95" customHeight="1" x14ac:dyDescent="0.2">
      <c r="A35" s="693" t="s">
        <v>742</v>
      </c>
      <c r="B35" s="592" t="s">
        <v>814</v>
      </c>
      <c r="C35" s="593">
        <f>'Rdwy Geometry'!C$177</f>
        <v>17595.54</v>
      </c>
      <c r="D35" s="593">
        <f>'Rdwy Geometry'!C$196</f>
        <v>17618.189999999999</v>
      </c>
      <c r="E35" s="593">
        <f>'Rdwy Geometry'!C$215</f>
        <v>17640.84</v>
      </c>
      <c r="F35" s="593">
        <f>'Rdwy Geometry'!C$234</f>
        <v>17663.5</v>
      </c>
      <c r="G35" s="593">
        <f>'Rdwy Geometry'!C$252</f>
        <v>17686.16</v>
      </c>
    </row>
    <row r="36" spans="1:7" s="8" customFormat="1" ht="15.95" customHeight="1" x14ac:dyDescent="0.2">
      <c r="A36" s="694"/>
      <c r="B36" s="592" t="s">
        <v>815</v>
      </c>
      <c r="C36" s="594">
        <f>'Rdwy Geometry'!J$177</f>
        <v>758.25118620007822</v>
      </c>
      <c r="D36" s="594">
        <f>'Rdwy Geometry'!J$196</f>
        <v>758.11875790490319</v>
      </c>
      <c r="E36" s="594">
        <f>'Rdwy Geometry'!J$215</f>
        <v>757.98066597792547</v>
      </c>
      <c r="F36" s="594">
        <f>'Rdwy Geometry'!J$234</f>
        <v>757.85998818062023</v>
      </c>
      <c r="G36" s="594">
        <f>'Rdwy Geometry'!J$252</f>
        <v>757.71269630137579</v>
      </c>
    </row>
    <row r="37" spans="1:7" s="8" customFormat="1" ht="15.95" customHeight="1" x14ac:dyDescent="0.2">
      <c r="A37" s="694"/>
      <c r="B37" s="592" t="s">
        <v>817</v>
      </c>
      <c r="C37" s="594">
        <f>'Rdwy Geometry'!L$177</f>
        <v>757.54285286674485</v>
      </c>
      <c r="D37" s="594">
        <f>'Rdwy Geometry'!L$196</f>
        <v>757.49409123823648</v>
      </c>
      <c r="E37" s="594">
        <f>'Rdwy Geometry'!L$215</f>
        <v>757.38966597792546</v>
      </c>
      <c r="F37" s="594">
        <f>'Rdwy Geometry'!L$234</f>
        <v>757.23532151395352</v>
      </c>
      <c r="G37" s="594">
        <f>'Rdwy Geometry'!L$252</f>
        <v>757.00436296804241</v>
      </c>
    </row>
    <row r="38" spans="1:7" s="8" customFormat="1" ht="15.95" customHeight="1" x14ac:dyDescent="0.2">
      <c r="A38" s="693" t="s">
        <v>743</v>
      </c>
      <c r="B38" s="592" t="s">
        <v>814</v>
      </c>
      <c r="C38" s="593">
        <f>'Rdwy Geometry'!C$178</f>
        <v>17598.36</v>
      </c>
      <c r="D38" s="593">
        <f>'Rdwy Geometry'!C$197</f>
        <v>17621.060000000001</v>
      </c>
      <c r="E38" s="593">
        <f>'Rdwy Geometry'!C$216</f>
        <v>17643.77</v>
      </c>
      <c r="F38" s="593">
        <f>'Rdwy Geometry'!C$235</f>
        <v>17666.490000000002</v>
      </c>
      <c r="G38" s="593">
        <f>'Rdwy Geometry'!C$253</f>
        <v>17689.21</v>
      </c>
    </row>
    <row r="39" spans="1:7" s="8" customFormat="1" ht="15.95" customHeight="1" x14ac:dyDescent="0.2">
      <c r="A39" s="694"/>
      <c r="B39" s="592" t="s">
        <v>815</v>
      </c>
      <c r="C39" s="594">
        <f>'Rdwy Geometry'!J$178</f>
        <v>757.87507688765083</v>
      </c>
      <c r="D39" s="594">
        <f>'Rdwy Geometry'!J$197</f>
        <v>757.73888041527812</v>
      </c>
      <c r="E39" s="594">
        <f>'Rdwy Geometry'!J$216</f>
        <v>757.62432973286741</v>
      </c>
      <c r="F39" s="594">
        <f>'Rdwy Geometry'!J$235</f>
        <v>757.54044803627221</v>
      </c>
      <c r="G39" s="594">
        <f>'Rdwy Geometry'!J$253</f>
        <v>757.4295630338903</v>
      </c>
    </row>
    <row r="40" spans="1:7" s="8" customFormat="1" ht="15.95" customHeight="1" x14ac:dyDescent="0.2">
      <c r="A40" s="694"/>
      <c r="B40" s="592" t="s">
        <v>817</v>
      </c>
      <c r="C40" s="594">
        <f>'Rdwy Geometry'!L$178</f>
        <v>757.16674355431746</v>
      </c>
      <c r="D40" s="594">
        <f>'Rdwy Geometry'!L$197</f>
        <v>757.11421374861141</v>
      </c>
      <c r="E40" s="594">
        <f>'Rdwy Geometry'!L$216</f>
        <v>757.0333297328674</v>
      </c>
      <c r="F40" s="594">
        <f>'Rdwy Geometry'!L$235</f>
        <v>756.9157813696055</v>
      </c>
      <c r="G40" s="594">
        <f>'Rdwy Geometry'!L$253</f>
        <v>756.72122970055693</v>
      </c>
    </row>
    <row r="41" spans="1:7" s="8" customFormat="1" ht="15.95" customHeight="1" x14ac:dyDescent="0.2">
      <c r="A41" s="693" t="s">
        <v>744</v>
      </c>
      <c r="B41" s="592" t="s">
        <v>814</v>
      </c>
      <c r="C41" s="593">
        <f>'Rdwy Geometry'!C$179</f>
        <v>17601.18</v>
      </c>
      <c r="D41" s="593">
        <f>'Rdwy Geometry'!C$198</f>
        <v>17623.95</v>
      </c>
      <c r="E41" s="593">
        <f>'Rdwy Geometry'!C$217</f>
        <v>17646.72</v>
      </c>
      <c r="F41" s="593">
        <f>'Rdwy Geometry'!C$236</f>
        <v>17669.5</v>
      </c>
      <c r="G41" s="593">
        <f>'Rdwy Geometry'!C$254</f>
        <v>17692.28</v>
      </c>
    </row>
    <row r="42" spans="1:7" s="8" customFormat="1" ht="15.95" customHeight="1" x14ac:dyDescent="0.2">
      <c r="A42" s="694"/>
      <c r="B42" s="592" t="s">
        <v>815</v>
      </c>
      <c r="C42" s="594">
        <f>'Rdwy Geometry'!J$179</f>
        <v>757.49853169823098</v>
      </c>
      <c r="D42" s="594">
        <f>'Rdwy Geometry'!J$198</f>
        <v>757.35843743121586</v>
      </c>
      <c r="E42" s="594">
        <f>'Rdwy Geometry'!J$217</f>
        <v>757.27799489489735</v>
      </c>
      <c r="F42" s="594">
        <f>'Rdwy Geometry'!J$236</f>
        <v>757.23104884593477</v>
      </c>
      <c r="G42" s="594">
        <f>'Rdwy Geometry'!J$254</f>
        <v>757.15670348844196</v>
      </c>
    </row>
    <row r="43" spans="1:7" s="8" customFormat="1" ht="15.95" customHeight="1" x14ac:dyDescent="0.2">
      <c r="A43" s="694"/>
      <c r="B43" s="592" t="s">
        <v>817</v>
      </c>
      <c r="C43" s="594">
        <f>'Rdwy Geometry'!L$179</f>
        <v>756.79019836489761</v>
      </c>
      <c r="D43" s="594">
        <f>'Rdwy Geometry'!L$198</f>
        <v>756.72268743121583</v>
      </c>
      <c r="E43" s="594">
        <f>'Rdwy Geometry'!L$217</f>
        <v>756.6715782282306</v>
      </c>
      <c r="F43" s="594">
        <f>'Rdwy Geometry'!L$236</f>
        <v>756.59529884593474</v>
      </c>
      <c r="G43" s="594">
        <f>'Rdwy Geometry'!L$254</f>
        <v>756.44837015510859</v>
      </c>
    </row>
    <row r="44" spans="1:7" s="8" customFormat="1" ht="15.95" customHeight="1" x14ac:dyDescent="0.2">
      <c r="A44" s="693" t="s">
        <v>820</v>
      </c>
      <c r="B44" s="592" t="s">
        <v>814</v>
      </c>
      <c r="C44" s="593">
        <f>'Rdwy Geometry'!C$180</f>
        <v>17601.89</v>
      </c>
      <c r="D44" s="593">
        <f>'Rdwy Geometry'!C$199</f>
        <v>17624.5</v>
      </c>
      <c r="E44" s="593">
        <f>'Rdwy Geometry'!C$218</f>
        <v>17647.150000000001</v>
      </c>
      <c r="F44" s="593">
        <f>'Rdwy Geometry'!C$237</f>
        <v>17669.84</v>
      </c>
      <c r="G44" s="593">
        <f>'Rdwy Geometry'!C$255</f>
        <v>17692.580000000002</v>
      </c>
    </row>
    <row r="45" spans="1:7" s="8" customFormat="1" ht="15.95" customHeight="1" x14ac:dyDescent="0.2">
      <c r="A45" s="694"/>
      <c r="B45" s="592" t="s">
        <v>815</v>
      </c>
      <c r="C45" s="594">
        <f>'Rdwy Geometry'!J$180</f>
        <v>757.40483853413946</v>
      </c>
      <c r="D45" s="594">
        <f>'Rdwy Geometry'!J$199</f>
        <v>757.28632412159084</v>
      </c>
      <c r="E45" s="594">
        <f>'Rdwy Geometry'!J$218</f>
        <v>757.22872992047951</v>
      </c>
      <c r="F45" s="594">
        <f>'Rdwy Geometry'!J$237</f>
        <v>757.19630617024893</v>
      </c>
      <c r="G45" s="594">
        <f>'Rdwy Geometry'!J$255</f>
        <v>757.13031575786079</v>
      </c>
    </row>
    <row r="46" spans="1:7" s="8" customFormat="1" ht="15.95" customHeight="1" x14ac:dyDescent="0.2">
      <c r="A46" s="694"/>
      <c r="B46" s="592" t="s">
        <v>816</v>
      </c>
      <c r="C46" s="594">
        <f>'Rdwy Geometry'!K$180</f>
        <v>757.40483853413946</v>
      </c>
      <c r="D46" s="594">
        <f>'Rdwy Geometry'!K$199</f>
        <v>757.35890745492418</v>
      </c>
      <c r="E46" s="594">
        <f>'Rdwy Geometry'!K$218</f>
        <v>757.33064658714613</v>
      </c>
      <c r="F46" s="594">
        <f>'Rdwy Geometry'!K$237</f>
        <v>757.26888950358227</v>
      </c>
      <c r="G46" s="594">
        <f>'Rdwy Geometry'!K$255</f>
        <v>757.13031575786079</v>
      </c>
    </row>
    <row r="47" spans="1:7" s="8" customFormat="1" ht="15.95" customHeight="1" x14ac:dyDescent="0.2">
      <c r="A47" s="523"/>
      <c r="B47" s="523"/>
      <c r="C47" s="527"/>
      <c r="D47" s="527"/>
      <c r="E47" s="527"/>
      <c r="F47" s="527"/>
      <c r="G47" s="527"/>
    </row>
  </sheetData>
  <mergeCells count="22">
    <mergeCell ref="D12:D13"/>
    <mergeCell ref="E12:E13"/>
    <mergeCell ref="F12:F13"/>
    <mergeCell ref="A1:K1"/>
    <mergeCell ref="A2:K2"/>
    <mergeCell ref="A3:K3"/>
    <mergeCell ref="A20:A22"/>
    <mergeCell ref="A11:G11"/>
    <mergeCell ref="A8:G8"/>
    <mergeCell ref="A41:A43"/>
    <mergeCell ref="A44:A46"/>
    <mergeCell ref="A32:A34"/>
    <mergeCell ref="A35:A37"/>
    <mergeCell ref="A38:A40"/>
    <mergeCell ref="A26:A28"/>
    <mergeCell ref="A29:A31"/>
    <mergeCell ref="A14:A16"/>
    <mergeCell ref="A17:A19"/>
    <mergeCell ref="A23:A25"/>
    <mergeCell ref="G12:G13"/>
    <mergeCell ref="A12:B13"/>
    <mergeCell ref="C12:C13"/>
  </mergeCells>
  <pageMargins left="0.7" right="0.7" top="0.75" bottom="0.75" header="0.3" footer="0.3"/>
  <pageSetup scale="78"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M421"/>
  <sheetViews>
    <sheetView view="pageBreakPreview" topLeftCell="A13" zoomScale="115" zoomScaleNormal="100" zoomScaleSheetLayoutView="115" workbookViewId="0">
      <selection activeCell="J13" sqref="J13"/>
    </sheetView>
  </sheetViews>
  <sheetFormatPr defaultColWidth="8.85546875" defaultRowHeight="12.75" x14ac:dyDescent="0.2"/>
  <cols>
    <col min="1" max="1" width="13.140625" style="112" customWidth="1"/>
    <col min="2" max="2" width="13.42578125" style="112" customWidth="1"/>
    <col min="3" max="8" width="10.7109375" style="112" customWidth="1"/>
    <col min="9" max="10" width="11.7109375" style="112" customWidth="1"/>
    <col min="11" max="11" width="10.7109375" style="112" customWidth="1"/>
    <col min="12" max="13" width="8.85546875" style="112"/>
    <col min="14" max="14" width="10.5703125" style="112" bestFit="1" customWidth="1"/>
    <col min="15" max="17" width="8.85546875" style="112"/>
    <col min="18" max="18" width="11.28515625" style="112" customWidth="1"/>
    <col min="19" max="19" width="12.140625" style="112" customWidth="1"/>
    <col min="20" max="16384" width="8.85546875" style="112"/>
  </cols>
  <sheetData>
    <row r="1" spans="1:12" ht="18" x14ac:dyDescent="0.25">
      <c r="A1" s="821" t="s">
        <v>138</v>
      </c>
      <c r="B1" s="822"/>
      <c r="C1" s="822"/>
      <c r="D1" s="822"/>
      <c r="E1" s="822"/>
      <c r="F1" s="822"/>
      <c r="G1" s="822"/>
      <c r="H1" s="822"/>
      <c r="I1" s="822"/>
      <c r="J1" s="822"/>
      <c r="K1" s="111"/>
      <c r="L1" s="111"/>
    </row>
    <row r="2" spans="1:12" x14ac:dyDescent="0.2">
      <c r="A2" s="823" t="s">
        <v>139</v>
      </c>
      <c r="B2" s="823"/>
      <c r="C2" s="823"/>
      <c r="D2" s="823"/>
      <c r="E2" s="823"/>
      <c r="F2" s="113"/>
      <c r="G2" s="114" t="s">
        <v>13</v>
      </c>
      <c r="H2" s="115" t="s">
        <v>132</v>
      </c>
      <c r="I2" s="114" t="s">
        <v>15</v>
      </c>
      <c r="J2" s="116" t="s">
        <v>703</v>
      </c>
    </row>
    <row r="3" spans="1:12" x14ac:dyDescent="0.2">
      <c r="A3" s="823" t="s">
        <v>140</v>
      </c>
      <c r="B3" s="823"/>
      <c r="C3" s="823"/>
      <c r="D3" s="823"/>
      <c r="E3" s="823"/>
      <c r="F3" s="113"/>
      <c r="G3" s="114" t="s">
        <v>14</v>
      </c>
      <c r="H3" s="115"/>
      <c r="I3" s="114" t="s">
        <v>15</v>
      </c>
      <c r="J3" s="115"/>
    </row>
    <row r="4" spans="1:12" x14ac:dyDescent="0.2">
      <c r="A4" s="824" t="s">
        <v>141</v>
      </c>
      <c r="B4" s="824"/>
      <c r="C4" s="824"/>
      <c r="D4" s="824"/>
      <c r="E4" s="824"/>
      <c r="F4" s="824"/>
      <c r="G4" s="824"/>
      <c r="H4" s="824"/>
      <c r="I4" s="824"/>
      <c r="J4" s="824"/>
      <c r="K4" s="117"/>
      <c r="L4" s="111"/>
    </row>
    <row r="6" spans="1:12" x14ac:dyDescent="0.2">
      <c r="A6" s="825"/>
      <c r="B6" s="825"/>
      <c r="C6" s="825"/>
      <c r="D6" s="825"/>
      <c r="E6" s="825"/>
      <c r="F6" s="825"/>
      <c r="G6" s="825"/>
      <c r="H6" s="786" t="s">
        <v>142</v>
      </c>
      <c r="I6" s="786" t="s">
        <v>143</v>
      </c>
    </row>
    <row r="7" spans="1:12" x14ac:dyDescent="0.2">
      <c r="A7" s="825"/>
      <c r="B7" s="825"/>
      <c r="C7" s="825"/>
      <c r="D7" s="825"/>
      <c r="E7" s="825"/>
      <c r="F7" s="825"/>
      <c r="G7" s="825"/>
      <c r="H7" s="786"/>
      <c r="I7" s="786"/>
    </row>
    <row r="8" spans="1:12" x14ac:dyDescent="0.2">
      <c r="A8" s="774" t="s">
        <v>144</v>
      </c>
      <c r="B8" s="774"/>
      <c r="C8" s="774"/>
      <c r="D8" s="774"/>
      <c r="E8" s="774"/>
      <c r="F8" s="774"/>
      <c r="G8" s="774"/>
      <c r="H8" s="469">
        <f>Quantities!C198</f>
        <v>72.3</v>
      </c>
      <c r="I8" s="469">
        <f>Quantities!C228</f>
        <v>70.98</v>
      </c>
    </row>
    <row r="10" spans="1:12" x14ac:dyDescent="0.2">
      <c r="C10" s="114"/>
      <c r="D10" s="114" t="s">
        <v>145</v>
      </c>
      <c r="E10" s="121">
        <f>'Rdwy Geometry'!C70</f>
        <v>7</v>
      </c>
    </row>
    <row r="11" spans="1:12" x14ac:dyDescent="0.2">
      <c r="C11" s="114"/>
      <c r="D11" s="114" t="s">
        <v>146</v>
      </c>
      <c r="E11" s="470" t="e">
        <f>'Rdwy Geometry'!#REF!</f>
        <v>#REF!</v>
      </c>
      <c r="F11" s="112" t="s">
        <v>147</v>
      </c>
    </row>
    <row r="12" spans="1:12" x14ac:dyDescent="0.2">
      <c r="E12" s="119"/>
    </row>
    <row r="13" spans="1:12" x14ac:dyDescent="0.2">
      <c r="D13" s="120" t="s">
        <v>148</v>
      </c>
      <c r="E13" s="471">
        <f>'Rdwy Geometry'!D124-'Rdwy Geometry'!D117</f>
        <v>90.25</v>
      </c>
    </row>
    <row r="14" spans="1:12" x14ac:dyDescent="0.2">
      <c r="D14" s="114" t="s">
        <v>149</v>
      </c>
      <c r="E14" s="472">
        <f>'Rdwy Geometry'!C75</f>
        <v>64.7</v>
      </c>
      <c r="F14" s="112" t="s">
        <v>150</v>
      </c>
    </row>
    <row r="15" spans="1:12" x14ac:dyDescent="0.2">
      <c r="D15" s="114" t="s">
        <v>151</v>
      </c>
      <c r="E15" s="121">
        <f>ROUNDDOWN((E14-2*1.6666)/12,0)</f>
        <v>5</v>
      </c>
    </row>
    <row r="16" spans="1:12" x14ac:dyDescent="0.2">
      <c r="D16" s="114" t="s">
        <v>152</v>
      </c>
      <c r="E16" s="472">
        <f>Quantities!C386</f>
        <v>30</v>
      </c>
    </row>
    <row r="17" spans="1:5" x14ac:dyDescent="0.2">
      <c r="D17" s="114" t="s">
        <v>153</v>
      </c>
      <c r="E17" s="472">
        <f>Quantities!D368</f>
        <v>61.65</v>
      </c>
    </row>
    <row r="19" spans="1:5" x14ac:dyDescent="0.2">
      <c r="A19" s="122" t="s">
        <v>154</v>
      </c>
    </row>
    <row r="20" spans="1:5" x14ac:dyDescent="0.2">
      <c r="A20" s="112" t="s">
        <v>155</v>
      </c>
    </row>
    <row r="21" spans="1:5" ht="15.75" x14ac:dyDescent="0.3">
      <c r="B21" s="114" t="s">
        <v>156</v>
      </c>
      <c r="C21" s="234">
        <f>Quantities!C381</f>
        <v>6.5</v>
      </c>
      <c r="D21" s="112" t="s">
        <v>157</v>
      </c>
    </row>
    <row r="22" spans="1:5" ht="15.75" x14ac:dyDescent="0.3">
      <c r="B22" s="114" t="s">
        <v>158</v>
      </c>
      <c r="C22" s="234">
        <f>(C21-C24)/2</f>
        <v>1.125</v>
      </c>
      <c r="D22" s="112" t="s">
        <v>157</v>
      </c>
    </row>
    <row r="23" spans="1:5" ht="15.75" x14ac:dyDescent="0.3">
      <c r="B23" s="114" t="s">
        <v>159</v>
      </c>
      <c r="C23" s="234">
        <f>C22</f>
        <v>1.125</v>
      </c>
      <c r="D23" s="112" t="s">
        <v>157</v>
      </c>
      <c r="E23" s="124"/>
    </row>
    <row r="24" spans="1:5" ht="15.75" x14ac:dyDescent="0.3">
      <c r="B24" s="114" t="s">
        <v>160</v>
      </c>
      <c r="C24" s="234">
        <f>Quantities!C139</f>
        <v>4.25</v>
      </c>
      <c r="D24" s="112" t="s">
        <v>157</v>
      </c>
      <c r="E24" s="124"/>
    </row>
    <row r="25" spans="1:5" ht="15.75" x14ac:dyDescent="0.3">
      <c r="B25" s="114" t="s">
        <v>161</v>
      </c>
      <c r="C25" s="234">
        <f>C21/2</f>
        <v>3.25</v>
      </c>
      <c r="D25" s="112" t="s">
        <v>157</v>
      </c>
    </row>
    <row r="26" spans="1:5" ht="15.75" x14ac:dyDescent="0.3">
      <c r="B26" s="114" t="s">
        <v>162</v>
      </c>
      <c r="C26" s="123">
        <v>1.5</v>
      </c>
      <c r="D26" s="112" t="s">
        <v>157</v>
      </c>
    </row>
    <row r="27" spans="1:5" ht="15.75" x14ac:dyDescent="0.3">
      <c r="B27" s="114" t="s">
        <v>163</v>
      </c>
      <c r="C27" s="123">
        <v>1.5</v>
      </c>
      <c r="D27" s="112" t="s">
        <v>157</v>
      </c>
    </row>
    <row r="29" spans="1:5" ht="15.75" x14ac:dyDescent="0.3">
      <c r="B29" s="114" t="s">
        <v>164</v>
      </c>
      <c r="C29" s="234">
        <f>Quantities!C200</f>
        <v>3</v>
      </c>
      <c r="D29" s="112" t="s">
        <v>157</v>
      </c>
    </row>
    <row r="30" spans="1:5" ht="15.75" x14ac:dyDescent="0.3">
      <c r="B30" s="114" t="s">
        <v>165</v>
      </c>
      <c r="C30" s="234">
        <f>Quantities!C208</f>
        <v>3.1254490927370853</v>
      </c>
      <c r="D30" s="112" t="s">
        <v>157</v>
      </c>
    </row>
    <row r="31" spans="1:5" ht="15.75" x14ac:dyDescent="0.3">
      <c r="B31" s="114" t="s">
        <v>166</v>
      </c>
      <c r="C31" s="123">
        <f>'Rdwy Geometry'!C12/12</f>
        <v>0.375</v>
      </c>
      <c r="D31" s="112" t="s">
        <v>157</v>
      </c>
    </row>
    <row r="32" spans="1:5" ht="15.75" x14ac:dyDescent="0.3">
      <c r="B32" s="114" t="s">
        <v>167</v>
      </c>
      <c r="C32" s="234" t="e">
        <f>Quantities!C138</f>
        <v>#REF!</v>
      </c>
      <c r="D32" s="112" t="s">
        <v>157</v>
      </c>
    </row>
    <row r="33" spans="2:4" ht="15.75" x14ac:dyDescent="0.3">
      <c r="B33" s="114" t="s">
        <v>168</v>
      </c>
      <c r="C33" s="123">
        <f>17/12</f>
        <v>1.4166666666666667</v>
      </c>
      <c r="D33" s="112" t="s">
        <v>157</v>
      </c>
    </row>
    <row r="54" spans="1:14" x14ac:dyDescent="0.2">
      <c r="A54" s="122" t="s">
        <v>169</v>
      </c>
    </row>
    <row r="56" spans="1:14" x14ac:dyDescent="0.2">
      <c r="A56" s="125" t="s">
        <v>170</v>
      </c>
    </row>
    <row r="57" spans="1:14" x14ac:dyDescent="0.2">
      <c r="D57" s="114" t="s">
        <v>171</v>
      </c>
      <c r="E57" s="126">
        <v>150</v>
      </c>
      <c r="F57" s="112" t="s">
        <v>172</v>
      </c>
    </row>
    <row r="58" spans="1:14" x14ac:dyDescent="0.2">
      <c r="G58" s="112" t="s">
        <v>173</v>
      </c>
    </row>
    <row r="59" spans="1:14" ht="15.75" x14ac:dyDescent="0.3">
      <c r="D59" s="114" t="s">
        <v>174</v>
      </c>
      <c r="E59" s="127">
        <f>C21*C29</f>
        <v>19.5</v>
      </c>
      <c r="F59" s="112" t="s">
        <v>175</v>
      </c>
      <c r="G59" s="114" t="s">
        <v>176</v>
      </c>
      <c r="H59" s="128">
        <f>C21/2</f>
        <v>3.25</v>
      </c>
    </row>
    <row r="60" spans="1:14" ht="15.75" x14ac:dyDescent="0.3">
      <c r="D60" s="114" t="s">
        <v>177</v>
      </c>
      <c r="E60" s="127">
        <f>C24*C30</f>
        <v>13.283158644132612</v>
      </c>
      <c r="F60" s="112" t="s">
        <v>175</v>
      </c>
      <c r="G60" s="114" t="s">
        <v>178</v>
      </c>
      <c r="H60" s="128">
        <f>C22+(C24/2)</f>
        <v>3.25</v>
      </c>
    </row>
    <row r="61" spans="1:14" x14ac:dyDescent="0.2">
      <c r="E61" s="127"/>
    </row>
    <row r="62" spans="1:14" ht="15.75" x14ac:dyDescent="0.3">
      <c r="D62" s="114" t="s">
        <v>179</v>
      </c>
      <c r="E62" s="127" t="e">
        <f>C24*C32</f>
        <v>#REF!</v>
      </c>
      <c r="F62" s="112" t="s">
        <v>175</v>
      </c>
      <c r="G62" s="114" t="s">
        <v>180</v>
      </c>
      <c r="H62" s="128">
        <f>C22+(C24/2)</f>
        <v>3.25</v>
      </c>
    </row>
    <row r="63" spans="1:14" x14ac:dyDescent="0.2">
      <c r="D63" s="114" t="s">
        <v>181</v>
      </c>
      <c r="E63" s="127" t="e">
        <f>E62*E57/1000</f>
        <v>#REF!</v>
      </c>
      <c r="F63" s="112" t="s">
        <v>182</v>
      </c>
      <c r="G63" s="114" t="s">
        <v>183</v>
      </c>
      <c r="H63" s="129" t="e">
        <f>E63*MAX(H8,I8)/E10</f>
        <v>#REF!</v>
      </c>
      <c r="I63" s="112" t="s">
        <v>184</v>
      </c>
      <c r="N63" s="129"/>
    </row>
    <row r="64" spans="1:14" x14ac:dyDescent="0.2">
      <c r="I64" s="112" t="s">
        <v>185</v>
      </c>
    </row>
    <row r="65" spans="1:14" ht="15.75" x14ac:dyDescent="0.3">
      <c r="A65" s="130"/>
      <c r="B65" s="131"/>
      <c r="C65" s="131"/>
      <c r="D65" s="132" t="s">
        <v>186</v>
      </c>
      <c r="E65" s="133" t="e">
        <f>(E57*(E59+E60+E62))/1000</f>
        <v>#REF!</v>
      </c>
      <c r="F65" s="131" t="s">
        <v>182</v>
      </c>
      <c r="G65" s="132" t="s">
        <v>187</v>
      </c>
      <c r="H65" s="134" t="e">
        <f>((E59*H59)+(E60*H60)+(E62*H62))/(E59+E60+E62)</f>
        <v>#REF!</v>
      </c>
    </row>
    <row r="68" spans="1:14" x14ac:dyDescent="0.2">
      <c r="A68" s="125" t="s">
        <v>188</v>
      </c>
    </row>
    <row r="69" spans="1:14" x14ac:dyDescent="0.2">
      <c r="A69" s="135"/>
    </row>
    <row r="70" spans="1:14" x14ac:dyDescent="0.2">
      <c r="A70" s="135"/>
      <c r="D70" s="114" t="s">
        <v>189</v>
      </c>
      <c r="E70" s="126">
        <v>120</v>
      </c>
      <c r="F70" s="112" t="s">
        <v>172</v>
      </c>
    </row>
    <row r="71" spans="1:14" x14ac:dyDescent="0.2">
      <c r="A71" s="135"/>
    </row>
    <row r="72" spans="1:14" ht="15.75" x14ac:dyDescent="0.3">
      <c r="A72" s="135"/>
      <c r="D72" s="114" t="s">
        <v>190</v>
      </c>
      <c r="E72" s="124" t="e">
        <f>C30+C31+C32</f>
        <v>#REF!</v>
      </c>
      <c r="F72" s="112" t="s">
        <v>157</v>
      </c>
    </row>
    <row r="73" spans="1:14" ht="15.75" x14ac:dyDescent="0.3">
      <c r="A73" s="135"/>
      <c r="D73" s="114" t="s">
        <v>191</v>
      </c>
      <c r="E73" s="124">
        <f>C23</f>
        <v>1.125</v>
      </c>
      <c r="F73" s="112" t="s">
        <v>157</v>
      </c>
    </row>
    <row r="74" spans="1:14" x14ac:dyDescent="0.2">
      <c r="A74" s="135"/>
      <c r="L74" s="111"/>
      <c r="M74" s="111"/>
      <c r="N74" s="111"/>
    </row>
    <row r="75" spans="1:14" ht="15.75" x14ac:dyDescent="0.3">
      <c r="A75" s="136"/>
      <c r="B75" s="131"/>
      <c r="C75" s="131"/>
      <c r="D75" s="132" t="s">
        <v>192</v>
      </c>
      <c r="E75" s="133" t="e">
        <f>(E72*E73)*E70/1000</f>
        <v>#REF!</v>
      </c>
      <c r="F75" s="131" t="s">
        <v>182</v>
      </c>
      <c r="G75" s="132" t="s">
        <v>193</v>
      </c>
      <c r="H75" s="134">
        <f>C22+C24+(C23/2)</f>
        <v>5.9375</v>
      </c>
      <c r="L75" s="119"/>
      <c r="M75" s="119"/>
      <c r="N75" s="119"/>
    </row>
    <row r="76" spans="1:14" x14ac:dyDescent="0.2">
      <c r="A76" s="135"/>
      <c r="L76" s="119"/>
      <c r="M76" s="137"/>
      <c r="N76" s="137"/>
    </row>
    <row r="77" spans="1:14" x14ac:dyDescent="0.2">
      <c r="L77" s="119"/>
      <c r="M77" s="137"/>
      <c r="N77" s="137"/>
    </row>
    <row r="78" spans="1:14" x14ac:dyDescent="0.2">
      <c r="A78" s="125" t="s">
        <v>194</v>
      </c>
      <c r="L78" s="119"/>
      <c r="M78" s="137"/>
      <c r="N78" s="137"/>
    </row>
    <row r="79" spans="1:14" x14ac:dyDescent="0.2">
      <c r="E79" s="787" t="s">
        <v>195</v>
      </c>
      <c r="F79" s="787"/>
      <c r="G79" s="787"/>
      <c r="H79" s="787"/>
      <c r="L79" s="119"/>
      <c r="M79" s="137"/>
      <c r="N79" s="137"/>
    </row>
    <row r="80" spans="1:14" ht="13.5" thickBot="1" x14ac:dyDescent="0.25">
      <c r="E80" s="820" t="s">
        <v>46</v>
      </c>
      <c r="F80" s="741"/>
      <c r="G80" s="820" t="s">
        <v>48</v>
      </c>
      <c r="H80" s="741"/>
      <c r="L80" s="119"/>
      <c r="M80" s="137"/>
      <c r="N80" s="137"/>
    </row>
    <row r="81" spans="4:14" ht="13.5" thickTop="1" x14ac:dyDescent="0.2">
      <c r="D81" s="114" t="s">
        <v>196</v>
      </c>
      <c r="E81" s="138">
        <v>37.200000000000003</v>
      </c>
      <c r="F81" s="139" t="s">
        <v>197</v>
      </c>
      <c r="G81" s="138">
        <f>E81</f>
        <v>37.200000000000003</v>
      </c>
      <c r="H81" s="139" t="s">
        <v>197</v>
      </c>
      <c r="L81" s="119"/>
      <c r="M81" s="137"/>
      <c r="N81" s="137"/>
    </row>
    <row r="82" spans="4:14" x14ac:dyDescent="0.2">
      <c r="E82" s="140"/>
      <c r="F82" s="139"/>
      <c r="G82" s="140"/>
      <c r="H82" s="139"/>
      <c r="L82" s="119"/>
      <c r="M82" s="137"/>
      <c r="N82" s="137"/>
    </row>
    <row r="83" spans="4:14" x14ac:dyDescent="0.2">
      <c r="D83" s="114" t="s">
        <v>198</v>
      </c>
      <c r="E83" s="138">
        <v>36.5</v>
      </c>
      <c r="F83" s="139" t="s">
        <v>197</v>
      </c>
      <c r="G83" s="138">
        <f>E83</f>
        <v>36.5</v>
      </c>
      <c r="H83" s="139" t="s">
        <v>197</v>
      </c>
      <c r="L83" s="119"/>
      <c r="M83" s="137"/>
      <c r="N83" s="137"/>
    </row>
    <row r="84" spans="4:14" x14ac:dyDescent="0.2">
      <c r="E84" s="140"/>
      <c r="F84" s="139"/>
      <c r="G84" s="140"/>
      <c r="H84" s="139"/>
      <c r="L84" s="119"/>
      <c r="M84" s="137"/>
      <c r="N84" s="137"/>
    </row>
    <row r="85" spans="4:14" x14ac:dyDescent="0.2">
      <c r="D85" s="114" t="s">
        <v>199</v>
      </c>
      <c r="E85" s="138">
        <v>1.8</v>
      </c>
      <c r="F85" s="139" t="s">
        <v>197</v>
      </c>
      <c r="G85" s="138">
        <f>E85</f>
        <v>1.8</v>
      </c>
      <c r="H85" s="139" t="s">
        <v>197</v>
      </c>
      <c r="L85" s="119"/>
      <c r="M85" s="137"/>
      <c r="N85" s="137"/>
    </row>
    <row r="86" spans="4:14" x14ac:dyDescent="0.2">
      <c r="E86" s="140"/>
      <c r="F86" s="139"/>
      <c r="G86" s="140"/>
      <c r="H86" s="139"/>
      <c r="L86" s="119"/>
      <c r="M86" s="137"/>
      <c r="N86" s="137"/>
    </row>
    <row r="87" spans="4:14" x14ac:dyDescent="0.2">
      <c r="D87" s="114" t="s">
        <v>200</v>
      </c>
      <c r="E87" s="138">
        <v>16.600000000000001</v>
      </c>
      <c r="F87" s="139" t="s">
        <v>197</v>
      </c>
      <c r="G87" s="138">
        <f>E87</f>
        <v>16.600000000000001</v>
      </c>
      <c r="H87" s="139" t="s">
        <v>197</v>
      </c>
      <c r="L87" s="119"/>
      <c r="M87" s="137"/>
      <c r="N87" s="137"/>
    </row>
    <row r="88" spans="4:14" x14ac:dyDescent="0.2">
      <c r="D88" s="114"/>
      <c r="E88" s="141"/>
      <c r="F88" s="142"/>
      <c r="G88" s="141"/>
      <c r="H88" s="139"/>
      <c r="M88" s="137"/>
      <c r="N88" s="137"/>
    </row>
    <row r="89" spans="4:14" x14ac:dyDescent="0.2">
      <c r="D89" s="114" t="s">
        <v>201</v>
      </c>
      <c r="E89" s="141">
        <f>C33*E16*E17*0.15*0.5</f>
        <v>196.50937500000001</v>
      </c>
      <c r="F89" s="139" t="s">
        <v>202</v>
      </c>
      <c r="G89" s="141">
        <f>E89</f>
        <v>196.50937500000001</v>
      </c>
      <c r="H89" s="139" t="s">
        <v>202</v>
      </c>
      <c r="I89" s="114" t="s">
        <v>183</v>
      </c>
      <c r="J89" s="129">
        <f>E89/E10</f>
        <v>28.072767857142857</v>
      </c>
      <c r="K89" s="112" t="s">
        <v>184</v>
      </c>
    </row>
    <row r="90" spans="4:14" x14ac:dyDescent="0.2">
      <c r="E90" s="140"/>
      <c r="F90" s="139"/>
      <c r="G90" s="140"/>
      <c r="H90" s="139"/>
      <c r="I90" s="112" t="s">
        <v>185</v>
      </c>
    </row>
    <row r="91" spans="4:14" x14ac:dyDescent="0.2">
      <c r="D91" s="114" t="s">
        <v>203</v>
      </c>
      <c r="E91" s="138">
        <v>54.6</v>
      </c>
      <c r="F91" s="139" t="s">
        <v>202</v>
      </c>
      <c r="G91" s="138">
        <f>E91</f>
        <v>54.6</v>
      </c>
      <c r="H91" s="139" t="s">
        <v>202</v>
      </c>
      <c r="I91" s="129"/>
    </row>
    <row r="92" spans="4:14" x14ac:dyDescent="0.2">
      <c r="E92" s="140"/>
      <c r="F92" s="139"/>
      <c r="G92" s="140"/>
      <c r="H92" s="143"/>
    </row>
    <row r="93" spans="4:14" x14ac:dyDescent="0.2">
      <c r="D93" s="114" t="s">
        <v>204</v>
      </c>
      <c r="E93" s="138">
        <v>164.4</v>
      </c>
      <c r="F93" s="139" t="s">
        <v>202</v>
      </c>
      <c r="G93" s="138">
        <f>E93</f>
        <v>164.4</v>
      </c>
      <c r="H93" s="139" t="s">
        <v>202</v>
      </c>
      <c r="I93" s="129"/>
    </row>
    <row r="94" spans="4:14" x14ac:dyDescent="0.2">
      <c r="E94" s="140"/>
      <c r="F94" s="139"/>
      <c r="G94" s="140"/>
      <c r="H94" s="139"/>
    </row>
    <row r="95" spans="4:14" x14ac:dyDescent="0.2">
      <c r="D95" s="114" t="s">
        <v>205</v>
      </c>
      <c r="E95" s="138">
        <v>93</v>
      </c>
      <c r="F95" s="139" t="s">
        <v>206</v>
      </c>
      <c r="G95" s="138">
        <f>E95</f>
        <v>93</v>
      </c>
      <c r="H95" s="139" t="s">
        <v>206</v>
      </c>
    </row>
    <row r="96" spans="4:14" x14ac:dyDescent="0.2">
      <c r="E96" s="144"/>
      <c r="F96" s="145"/>
      <c r="G96" s="144"/>
      <c r="H96" s="145"/>
    </row>
    <row r="97" spans="2:8" ht="12.75" customHeight="1" x14ac:dyDescent="0.2">
      <c r="B97" s="785" t="s">
        <v>207</v>
      </c>
      <c r="C97" s="785"/>
      <c r="D97" s="785"/>
      <c r="E97" s="786" t="s">
        <v>208</v>
      </c>
      <c r="F97" s="786"/>
      <c r="G97" s="786" t="s">
        <v>209</v>
      </c>
      <c r="H97" s="786"/>
    </row>
    <row r="98" spans="2:8" ht="12.75" customHeight="1" x14ac:dyDescent="0.2">
      <c r="B98" s="786" t="s">
        <v>210</v>
      </c>
      <c r="C98" s="786" t="s">
        <v>211</v>
      </c>
      <c r="D98" s="786"/>
      <c r="E98" s="786"/>
      <c r="F98" s="786"/>
      <c r="G98" s="786"/>
      <c r="H98" s="786"/>
    </row>
    <row r="99" spans="2:8" ht="25.5" customHeight="1" x14ac:dyDescent="0.2">
      <c r="B99" s="786"/>
      <c r="C99" s="786"/>
      <c r="D99" s="786"/>
      <c r="E99" s="786"/>
      <c r="F99" s="786"/>
      <c r="G99" s="786"/>
      <c r="H99" s="786"/>
    </row>
    <row r="100" spans="2:8" x14ac:dyDescent="0.2">
      <c r="B100" s="146">
        <f>IF($E$15&gt;=1,1,"N/A")</f>
        <v>1</v>
      </c>
      <c r="C100" s="783">
        <v>1.2</v>
      </c>
      <c r="D100" s="783"/>
      <c r="E100" s="784">
        <f>IF($E$15&gt;=1,B100*C100*$E$95,"N/A")</f>
        <v>111.6</v>
      </c>
      <c r="F100" s="784"/>
      <c r="G100" s="784">
        <f>IF($E$15&gt;=1,B100*C100*$G$95,"N/A")</f>
        <v>111.6</v>
      </c>
      <c r="H100" s="784"/>
    </row>
    <row r="101" spans="2:8" x14ac:dyDescent="0.2">
      <c r="B101" s="146">
        <f>IF($E$15&gt;=2,2,"N/A")</f>
        <v>2</v>
      </c>
      <c r="C101" s="783">
        <v>1</v>
      </c>
      <c r="D101" s="783"/>
      <c r="E101" s="784">
        <f>IF($E$15&gt;=2,B101*C101*$E$95,"N/A")</f>
        <v>186</v>
      </c>
      <c r="F101" s="784"/>
      <c r="G101" s="784">
        <f>IF($E$15&gt;=2,B101*C101*$G$95,"N/A")</f>
        <v>186</v>
      </c>
      <c r="H101" s="784"/>
    </row>
    <row r="102" spans="2:8" x14ac:dyDescent="0.2">
      <c r="B102" s="146">
        <f>IF($E$15&gt;=3,3,"N/A")</f>
        <v>3</v>
      </c>
      <c r="C102" s="783">
        <v>0.85</v>
      </c>
      <c r="D102" s="783"/>
      <c r="E102" s="784">
        <f>IF($E$15&gt;=3,B102*C102*$E$95,"N/A")</f>
        <v>237.14999999999998</v>
      </c>
      <c r="F102" s="784"/>
      <c r="G102" s="784">
        <f>IF($E$15&gt;=3,B102*C102*$G$95,"N/A")</f>
        <v>237.14999999999998</v>
      </c>
      <c r="H102" s="784"/>
    </row>
    <row r="103" spans="2:8" x14ac:dyDescent="0.2">
      <c r="B103" s="146">
        <f>IF($E$15&gt;=4,$E$15,"N/A")</f>
        <v>5</v>
      </c>
      <c r="C103" s="783">
        <v>0.65</v>
      </c>
      <c r="D103" s="783"/>
      <c r="E103" s="784">
        <f>IF($E$15&gt;=4,$E$15*C103*$E$95,"N/A")</f>
        <v>302.25</v>
      </c>
      <c r="F103" s="784"/>
      <c r="G103" s="784">
        <f>IF($E$15&gt;=4,$E$15*C103*$G$95,"N/A")</f>
        <v>302.25</v>
      </c>
      <c r="H103" s="784"/>
    </row>
    <row r="104" spans="2:8" x14ac:dyDescent="0.2">
      <c r="B104" s="772" t="s">
        <v>212</v>
      </c>
      <c r="C104" s="772"/>
      <c r="D104" s="772"/>
      <c r="E104" s="773">
        <f>MAX(E100:F103)</f>
        <v>302.25</v>
      </c>
      <c r="F104" s="774"/>
      <c r="G104" s="773">
        <f>MAX(G100:H103)</f>
        <v>302.25</v>
      </c>
      <c r="H104" s="774"/>
    </row>
    <row r="105" spans="2:8" x14ac:dyDescent="0.2">
      <c r="B105" s="147"/>
      <c r="C105" s="147"/>
      <c r="D105" s="147"/>
      <c r="E105" s="148"/>
      <c r="F105" s="149"/>
      <c r="G105" s="148"/>
      <c r="H105" s="149"/>
    </row>
    <row r="106" spans="2:8" ht="12.75" customHeight="1" x14ac:dyDescent="0.2">
      <c r="B106" s="785" t="s">
        <v>207</v>
      </c>
      <c r="C106" s="785"/>
      <c r="D106" s="785"/>
      <c r="E106" s="786" t="s">
        <v>213</v>
      </c>
      <c r="F106" s="786"/>
      <c r="G106" s="786" t="s">
        <v>214</v>
      </c>
      <c r="H106" s="786"/>
    </row>
    <row r="107" spans="2:8" x14ac:dyDescent="0.2">
      <c r="B107" s="786" t="s">
        <v>210</v>
      </c>
      <c r="C107" s="786" t="s">
        <v>211</v>
      </c>
      <c r="D107" s="786"/>
      <c r="E107" s="786"/>
      <c r="F107" s="786"/>
      <c r="G107" s="786"/>
      <c r="H107" s="786"/>
    </row>
    <row r="108" spans="2:8" ht="25.5" customHeight="1" x14ac:dyDescent="0.2">
      <c r="B108" s="786"/>
      <c r="C108" s="786"/>
      <c r="D108" s="786"/>
      <c r="E108" s="786"/>
      <c r="F108" s="786"/>
      <c r="G108" s="786"/>
      <c r="H108" s="786"/>
    </row>
    <row r="109" spans="2:8" x14ac:dyDescent="0.2">
      <c r="B109" s="146">
        <f>IF($E$15&gt;=1,1,"N/A")</f>
        <v>1</v>
      </c>
      <c r="C109" s="783">
        <v>1.2</v>
      </c>
      <c r="D109" s="783"/>
      <c r="E109" s="784">
        <f>IF($E$15&gt;=1,B109*C109*$E$16*0.64*0.5,"N/A")</f>
        <v>11.52</v>
      </c>
      <c r="F109" s="784"/>
      <c r="G109" s="784">
        <f>IF($E$15&gt;=1,B109*C109*$E$16*0.64*0.5,"N/A")</f>
        <v>11.52</v>
      </c>
      <c r="H109" s="784"/>
    </row>
    <row r="110" spans="2:8" x14ac:dyDescent="0.2">
      <c r="B110" s="146">
        <f>IF($E$15&gt;=2,2,"N/A")</f>
        <v>2</v>
      </c>
      <c r="C110" s="783">
        <v>1</v>
      </c>
      <c r="D110" s="783"/>
      <c r="E110" s="784">
        <f>IF($E$15&gt;=2,B110*C110*$E$16*0.64*0.5,"N/A")</f>
        <v>19.2</v>
      </c>
      <c r="F110" s="784"/>
      <c r="G110" s="784">
        <f>IF($E$15&gt;=2,B110*C110*$E$16*0.64*0.5,"N/A")</f>
        <v>19.2</v>
      </c>
      <c r="H110" s="784"/>
    </row>
    <row r="111" spans="2:8" x14ac:dyDescent="0.2">
      <c r="B111" s="146">
        <f>IF($E$15&gt;=3,3,"N/A")</f>
        <v>3</v>
      </c>
      <c r="C111" s="783">
        <v>0.85</v>
      </c>
      <c r="D111" s="783"/>
      <c r="E111" s="784">
        <f>IF($E$15&gt;=3,B111*C111*$E$16*0.64*0.5,"N/A")</f>
        <v>24.48</v>
      </c>
      <c r="F111" s="784"/>
      <c r="G111" s="784">
        <f>IF($E$15&gt;=3,B111*C111*$E$16*0.64*0.5,"N/A")</f>
        <v>24.48</v>
      </c>
      <c r="H111" s="784"/>
    </row>
    <row r="112" spans="2:8" x14ac:dyDescent="0.2">
      <c r="B112" s="146">
        <f>IF($E$15&gt;=4,$E$15,"N/A")</f>
        <v>5</v>
      </c>
      <c r="C112" s="783">
        <v>0.65</v>
      </c>
      <c r="D112" s="783"/>
      <c r="E112" s="784">
        <f>IF($E$15&gt;=4,B112*C112*$E$16*0.64*0.5,"N/A")</f>
        <v>31.2</v>
      </c>
      <c r="F112" s="784"/>
      <c r="G112" s="784">
        <f>IF($E$15&gt;=4,B112*C112*$E$16*0.64*0.5,"N/A")</f>
        <v>31.2</v>
      </c>
      <c r="H112" s="784"/>
    </row>
    <row r="113" spans="1:8" x14ac:dyDescent="0.2">
      <c r="B113" s="772" t="s">
        <v>212</v>
      </c>
      <c r="C113" s="772"/>
      <c r="D113" s="772"/>
      <c r="E113" s="773">
        <f>MAX(E109:F112)</f>
        <v>31.2</v>
      </c>
      <c r="F113" s="774"/>
      <c r="G113" s="773">
        <f>MAX(G109:H112)</f>
        <v>31.2</v>
      </c>
      <c r="H113" s="774"/>
    </row>
    <row r="114" spans="1:8" x14ac:dyDescent="0.2">
      <c r="B114" s="147"/>
      <c r="C114" s="147"/>
      <c r="D114" s="147"/>
      <c r="E114" s="148"/>
      <c r="F114" s="149"/>
      <c r="G114" s="148"/>
      <c r="H114" s="149"/>
    </row>
    <row r="116" spans="1:8" x14ac:dyDescent="0.2">
      <c r="A116" s="122" t="s">
        <v>215</v>
      </c>
    </row>
    <row r="117" spans="1:8" ht="13.5" thickBot="1" x14ac:dyDescent="0.25"/>
    <row r="118" spans="1:8" ht="13.5" thickBot="1" x14ac:dyDescent="0.25">
      <c r="A118" s="817" t="s">
        <v>216</v>
      </c>
      <c r="B118" s="818"/>
      <c r="C118" s="818"/>
      <c r="D118" s="818"/>
      <c r="E118" s="818" t="s">
        <v>46</v>
      </c>
      <c r="F118" s="818"/>
      <c r="G118" s="818" t="s">
        <v>48</v>
      </c>
      <c r="H118" s="819"/>
    </row>
    <row r="119" spans="1:8" ht="16.5" thickTop="1" x14ac:dyDescent="0.3">
      <c r="A119" s="150" t="s">
        <v>217</v>
      </c>
      <c r="B119" s="813" t="s">
        <v>218</v>
      </c>
      <c r="C119" s="813"/>
      <c r="D119" s="814"/>
      <c r="E119" s="815">
        <f>E81*$E$10</f>
        <v>260.40000000000003</v>
      </c>
      <c r="F119" s="815"/>
      <c r="G119" s="815">
        <f>G81*$E$10</f>
        <v>260.40000000000003</v>
      </c>
      <c r="H119" s="816"/>
    </row>
    <row r="120" spans="1:8" ht="15.75" x14ac:dyDescent="0.3">
      <c r="A120" s="151" t="s">
        <v>217</v>
      </c>
      <c r="B120" s="748" t="s">
        <v>219</v>
      </c>
      <c r="C120" s="748"/>
      <c r="D120" s="806"/>
      <c r="E120" s="807">
        <f>(E83+E87)*$E$10</f>
        <v>371.7</v>
      </c>
      <c r="F120" s="807"/>
      <c r="G120" s="807">
        <f>(G83+G87)*$E$10</f>
        <v>371.7</v>
      </c>
      <c r="H120" s="808"/>
    </row>
    <row r="121" spans="1:8" ht="15.75" x14ac:dyDescent="0.3">
      <c r="A121" s="151" t="s">
        <v>217</v>
      </c>
      <c r="B121" s="748" t="s">
        <v>220</v>
      </c>
      <c r="C121" s="748"/>
      <c r="D121" s="806"/>
      <c r="E121" s="807">
        <f>E85*$E$10</f>
        <v>12.6</v>
      </c>
      <c r="F121" s="807"/>
      <c r="G121" s="807">
        <f>G85*$E$10</f>
        <v>12.6</v>
      </c>
      <c r="H121" s="808"/>
    </row>
    <row r="122" spans="1:8" ht="15.75" x14ac:dyDescent="0.3">
      <c r="A122" s="151" t="s">
        <v>217</v>
      </c>
      <c r="B122" s="748" t="s">
        <v>221</v>
      </c>
      <c r="C122" s="748"/>
      <c r="D122" s="806"/>
      <c r="E122" s="807">
        <f>E91</f>
        <v>54.6</v>
      </c>
      <c r="F122" s="807"/>
      <c r="G122" s="807">
        <f>G91</f>
        <v>54.6</v>
      </c>
      <c r="H122" s="808"/>
    </row>
    <row r="123" spans="1:8" ht="15.75" x14ac:dyDescent="0.3">
      <c r="A123" s="151" t="s">
        <v>217</v>
      </c>
      <c r="B123" s="748" t="s">
        <v>222</v>
      </c>
      <c r="C123" s="748"/>
      <c r="D123" s="806"/>
      <c r="E123" s="807">
        <f>E89</f>
        <v>196.50937500000001</v>
      </c>
      <c r="F123" s="807"/>
      <c r="G123" s="807">
        <f>G89</f>
        <v>196.50937500000001</v>
      </c>
      <c r="H123" s="808"/>
    </row>
    <row r="124" spans="1:8" ht="15.75" x14ac:dyDescent="0.3">
      <c r="A124" s="151" t="s">
        <v>223</v>
      </c>
      <c r="B124" s="748" t="s">
        <v>224</v>
      </c>
      <c r="C124" s="748"/>
      <c r="D124" s="806"/>
      <c r="E124" s="807">
        <f>E93</f>
        <v>164.4</v>
      </c>
      <c r="F124" s="807"/>
      <c r="G124" s="807">
        <f>G93</f>
        <v>164.4</v>
      </c>
      <c r="H124" s="808"/>
    </row>
    <row r="125" spans="1:8" ht="15.75" x14ac:dyDescent="0.3">
      <c r="A125" s="151" t="s">
        <v>225</v>
      </c>
      <c r="B125" s="748" t="s">
        <v>226</v>
      </c>
      <c r="C125" s="748"/>
      <c r="D125" s="806"/>
      <c r="E125" s="807">
        <f>E104</f>
        <v>302.25</v>
      </c>
      <c r="F125" s="807"/>
      <c r="G125" s="807">
        <f>G104</f>
        <v>302.25</v>
      </c>
      <c r="H125" s="808"/>
    </row>
    <row r="126" spans="1:8" ht="16.5" thickBot="1" x14ac:dyDescent="0.35">
      <c r="A126" s="152" t="s">
        <v>225</v>
      </c>
      <c r="B126" s="809" t="s">
        <v>227</v>
      </c>
      <c r="C126" s="809"/>
      <c r="D126" s="810"/>
      <c r="E126" s="811">
        <f>E113</f>
        <v>31.2</v>
      </c>
      <c r="F126" s="811"/>
      <c r="G126" s="811">
        <f>G113</f>
        <v>31.2</v>
      </c>
      <c r="H126" s="812"/>
    </row>
    <row r="127" spans="1:8" x14ac:dyDescent="0.2">
      <c r="A127" s="111"/>
      <c r="B127" s="111"/>
      <c r="C127" s="111"/>
      <c r="D127" s="111"/>
    </row>
    <row r="128" spans="1:8" x14ac:dyDescent="0.2">
      <c r="A128" s="153" t="s">
        <v>228</v>
      </c>
      <c r="B128" s="111"/>
      <c r="C128" s="111"/>
      <c r="D128" s="111"/>
    </row>
    <row r="129" spans="1:8" ht="13.5" thickBot="1" x14ac:dyDescent="0.25">
      <c r="A129" s="111"/>
      <c r="B129" s="111"/>
      <c r="C129" s="111"/>
      <c r="D129" s="111"/>
    </row>
    <row r="130" spans="1:8" x14ac:dyDescent="0.2">
      <c r="A130" s="732" t="s">
        <v>216</v>
      </c>
      <c r="B130" s="736"/>
      <c r="C130" s="764" t="s">
        <v>229</v>
      </c>
      <c r="D130" s="765"/>
      <c r="E130" s="736" t="s">
        <v>46</v>
      </c>
      <c r="F130" s="736"/>
      <c r="G130" s="736" t="s">
        <v>48</v>
      </c>
      <c r="H130" s="733"/>
    </row>
    <row r="131" spans="1:8" ht="29.25" customHeight="1" thickBot="1" x14ac:dyDescent="0.25">
      <c r="A131" s="734"/>
      <c r="B131" s="803"/>
      <c r="C131" s="766"/>
      <c r="D131" s="767"/>
      <c r="E131" s="154" t="s">
        <v>230</v>
      </c>
      <c r="F131" s="154" t="s">
        <v>231</v>
      </c>
      <c r="G131" s="154" t="s">
        <v>230</v>
      </c>
      <c r="H131" s="155" t="s">
        <v>231</v>
      </c>
    </row>
    <row r="132" spans="1:8" ht="16.5" thickTop="1" x14ac:dyDescent="0.3">
      <c r="A132" s="804" t="s">
        <v>232</v>
      </c>
      <c r="B132" s="805"/>
      <c r="C132" s="156" t="s">
        <v>233</v>
      </c>
      <c r="D132" s="157" t="e">
        <f>H65</f>
        <v>#REF!</v>
      </c>
      <c r="E132" s="158" t="e">
        <f>E65*H8</f>
        <v>#REF!</v>
      </c>
      <c r="F132" s="159" t="e">
        <f>D132*E132</f>
        <v>#REF!</v>
      </c>
      <c r="G132" s="158" t="e">
        <f>E65*I8</f>
        <v>#REF!</v>
      </c>
      <c r="H132" s="160" t="e">
        <f>D132*G132</f>
        <v>#REF!</v>
      </c>
    </row>
    <row r="133" spans="1:8" ht="15.75" x14ac:dyDescent="0.3">
      <c r="A133" s="798" t="s">
        <v>234</v>
      </c>
      <c r="B133" s="799"/>
      <c r="C133" s="161" t="s">
        <v>193</v>
      </c>
      <c r="D133" s="162">
        <f>H75</f>
        <v>5.9375</v>
      </c>
      <c r="E133" s="163" t="e">
        <f>E75*H8</f>
        <v>#REF!</v>
      </c>
      <c r="F133" s="164" t="e">
        <f t="shared" ref="F133:F135" si="0">D133*E133</f>
        <v>#REF!</v>
      </c>
      <c r="G133" s="163" t="e">
        <f>E75*I8</f>
        <v>#REF!</v>
      </c>
      <c r="H133" s="165" t="e">
        <f t="shared" ref="H133:H137" si="1">D133*G133</f>
        <v>#REF!</v>
      </c>
    </row>
    <row r="134" spans="1:8" ht="15.75" x14ac:dyDescent="0.3">
      <c r="A134" s="798" t="s">
        <v>235</v>
      </c>
      <c r="B134" s="799"/>
      <c r="C134" s="161" t="s">
        <v>236</v>
      </c>
      <c r="D134" s="162">
        <f>C25</f>
        <v>3.25</v>
      </c>
      <c r="E134" s="163">
        <f>E119+E120+E121+E122+E123</f>
        <v>895.80937500000005</v>
      </c>
      <c r="F134" s="164">
        <f t="shared" si="0"/>
        <v>2911.3804687500001</v>
      </c>
      <c r="G134" s="163">
        <f>G119+G120+G121+G122+G123</f>
        <v>895.80937500000005</v>
      </c>
      <c r="H134" s="165">
        <f t="shared" si="1"/>
        <v>2911.3804687500001</v>
      </c>
    </row>
    <row r="135" spans="1:8" ht="15.75" x14ac:dyDescent="0.3">
      <c r="A135" s="798" t="s">
        <v>237</v>
      </c>
      <c r="B135" s="799"/>
      <c r="C135" s="161" t="s">
        <v>238</v>
      </c>
      <c r="D135" s="162">
        <f>C25</f>
        <v>3.25</v>
      </c>
      <c r="E135" s="163">
        <f>E124</f>
        <v>164.4</v>
      </c>
      <c r="F135" s="164">
        <f t="shared" si="0"/>
        <v>534.30000000000007</v>
      </c>
      <c r="G135" s="163">
        <f>G124</f>
        <v>164.4</v>
      </c>
      <c r="H135" s="165">
        <f t="shared" si="1"/>
        <v>534.30000000000007</v>
      </c>
    </row>
    <row r="136" spans="1:8" ht="15.75" x14ac:dyDescent="0.3">
      <c r="A136" s="798" t="s">
        <v>239</v>
      </c>
      <c r="B136" s="799"/>
      <c r="C136" s="161" t="s">
        <v>240</v>
      </c>
      <c r="D136" s="162">
        <f>C25</f>
        <v>3.25</v>
      </c>
      <c r="E136" s="163">
        <f>E125</f>
        <v>302.25</v>
      </c>
      <c r="F136" s="164">
        <f>D136*E136</f>
        <v>982.3125</v>
      </c>
      <c r="G136" s="163">
        <f>G125</f>
        <v>302.25</v>
      </c>
      <c r="H136" s="165">
        <f t="shared" si="1"/>
        <v>982.3125</v>
      </c>
    </row>
    <row r="137" spans="1:8" ht="16.5" thickBot="1" x14ac:dyDescent="0.35">
      <c r="A137" s="800" t="s">
        <v>241</v>
      </c>
      <c r="B137" s="801"/>
      <c r="C137" s="166" t="s">
        <v>240</v>
      </c>
      <c r="D137" s="167">
        <f>C25</f>
        <v>3.25</v>
      </c>
      <c r="E137" s="168">
        <f>E126</f>
        <v>31.2</v>
      </c>
      <c r="F137" s="169">
        <f>D137*E137</f>
        <v>101.39999999999999</v>
      </c>
      <c r="G137" s="168">
        <f>G126</f>
        <v>31.2</v>
      </c>
      <c r="H137" s="170">
        <f t="shared" si="1"/>
        <v>101.39999999999999</v>
      </c>
    </row>
    <row r="139" spans="1:8" x14ac:dyDescent="0.2">
      <c r="A139" s="122" t="s">
        <v>242</v>
      </c>
    </row>
    <row r="140" spans="1:8" x14ac:dyDescent="0.2">
      <c r="A140" s="135"/>
      <c r="B140" s="135"/>
    </row>
    <row r="141" spans="1:8" x14ac:dyDescent="0.2">
      <c r="A141" s="135"/>
      <c r="B141" s="135"/>
    </row>
    <row r="142" spans="1:8" x14ac:dyDescent="0.2">
      <c r="A142" s="135"/>
      <c r="B142" s="135"/>
    </row>
    <row r="143" spans="1:8" x14ac:dyDescent="0.2">
      <c r="A143" s="135"/>
      <c r="B143" s="135"/>
    </row>
    <row r="144" spans="1:8" x14ac:dyDescent="0.2">
      <c r="A144" s="135"/>
      <c r="B144" s="135"/>
    </row>
    <row r="145" spans="1:2" x14ac:dyDescent="0.2">
      <c r="A145" s="135"/>
      <c r="B145" s="135"/>
    </row>
    <row r="146" spans="1:2" x14ac:dyDescent="0.2">
      <c r="A146" s="135"/>
      <c r="B146" s="135"/>
    </row>
    <row r="147" spans="1:2" x14ac:dyDescent="0.2">
      <c r="A147" s="135"/>
      <c r="B147" s="135"/>
    </row>
    <row r="148" spans="1:2" x14ac:dyDescent="0.2">
      <c r="A148" s="135"/>
      <c r="B148" s="135"/>
    </row>
    <row r="149" spans="1:2" x14ac:dyDescent="0.2">
      <c r="A149" s="135"/>
      <c r="B149" s="135"/>
    </row>
    <row r="150" spans="1:2" x14ac:dyDescent="0.2">
      <c r="A150" s="135"/>
      <c r="B150" s="135"/>
    </row>
    <row r="151" spans="1:2" x14ac:dyDescent="0.2">
      <c r="A151" s="135"/>
      <c r="B151" s="135"/>
    </row>
    <row r="152" spans="1:2" x14ac:dyDescent="0.2">
      <c r="A152" s="135"/>
      <c r="B152" s="135"/>
    </row>
    <row r="153" spans="1:2" x14ac:dyDescent="0.2">
      <c r="A153" s="135"/>
      <c r="B153" s="135"/>
    </row>
    <row r="154" spans="1:2" x14ac:dyDescent="0.2">
      <c r="A154" s="135"/>
      <c r="B154" s="135"/>
    </row>
    <row r="155" spans="1:2" x14ac:dyDescent="0.2">
      <c r="A155" s="135"/>
      <c r="B155" s="135"/>
    </row>
    <row r="156" spans="1:2" x14ac:dyDescent="0.2">
      <c r="A156" s="135"/>
      <c r="B156" s="135"/>
    </row>
    <row r="157" spans="1:2" x14ac:dyDescent="0.2">
      <c r="A157" s="135"/>
      <c r="B157" s="135"/>
    </row>
    <row r="158" spans="1:2" x14ac:dyDescent="0.2">
      <c r="A158" s="135"/>
      <c r="B158" s="135"/>
    </row>
    <row r="159" spans="1:2" x14ac:dyDescent="0.2">
      <c r="A159" s="135"/>
      <c r="B159" s="135"/>
    </row>
    <row r="160" spans="1:2" x14ac:dyDescent="0.2">
      <c r="A160" s="135"/>
      <c r="B160" s="135"/>
    </row>
    <row r="161" spans="1:9" x14ac:dyDescent="0.2">
      <c r="A161" s="135"/>
      <c r="B161" s="135"/>
    </row>
    <row r="163" spans="1:9" ht="15.75" x14ac:dyDescent="0.3">
      <c r="A163" s="125" t="s">
        <v>243</v>
      </c>
    </row>
    <row r="164" spans="1:9" x14ac:dyDescent="0.2">
      <c r="B164" s="171"/>
      <c r="C164" s="171"/>
      <c r="D164" s="171"/>
    </row>
    <row r="165" spans="1:9" ht="15.75" x14ac:dyDescent="0.3">
      <c r="C165" s="171"/>
      <c r="D165" s="171"/>
      <c r="E165" s="120" t="s">
        <v>244</v>
      </c>
      <c r="F165" s="126">
        <v>0.5</v>
      </c>
    </row>
    <row r="166" spans="1:9" ht="15.75" customHeight="1" x14ac:dyDescent="0.2">
      <c r="B166" s="171"/>
      <c r="C166" s="171"/>
      <c r="D166" s="171"/>
      <c r="E166" s="114" t="s">
        <v>245</v>
      </c>
      <c r="F166" s="112">
        <f>(E70/1000)*F165</f>
        <v>0.06</v>
      </c>
      <c r="G166" s="112" t="s">
        <v>246</v>
      </c>
    </row>
    <row r="167" spans="1:9" x14ac:dyDescent="0.2">
      <c r="B167" s="171"/>
      <c r="C167" s="171"/>
      <c r="D167" s="171"/>
    </row>
    <row r="168" spans="1:9" ht="15.75" x14ac:dyDescent="0.3">
      <c r="B168" s="171"/>
      <c r="C168" s="171"/>
      <c r="D168" s="171"/>
      <c r="E168" s="114" t="s">
        <v>247</v>
      </c>
      <c r="F168" s="112" t="e">
        <f>F166*(C31+C32)</f>
        <v>#REF!</v>
      </c>
      <c r="G168" s="112" t="s">
        <v>248</v>
      </c>
      <c r="I168" s="114"/>
    </row>
    <row r="169" spans="1:9" ht="15.75" x14ac:dyDescent="0.3">
      <c r="B169" s="171"/>
      <c r="C169" s="171"/>
      <c r="D169" s="171"/>
      <c r="E169" s="114" t="s">
        <v>249</v>
      </c>
      <c r="F169" s="124" t="e">
        <f>F166*(C29+C30+C31+C32)</f>
        <v>#REF!</v>
      </c>
      <c r="G169" s="112" t="s">
        <v>248</v>
      </c>
      <c r="I169" s="114"/>
    </row>
    <row r="170" spans="1:9" x14ac:dyDescent="0.2">
      <c r="B170" s="171"/>
      <c r="C170" s="171"/>
      <c r="D170" s="171"/>
      <c r="E170" s="114"/>
    </row>
    <row r="171" spans="1:9" ht="15.75" x14ac:dyDescent="0.3">
      <c r="B171" s="171"/>
      <c r="C171" s="171"/>
      <c r="D171" s="171"/>
      <c r="E171" s="114" t="s">
        <v>250</v>
      </c>
      <c r="F171" s="128" t="e">
        <f>C29+C30+C31+C32</f>
        <v>#REF!</v>
      </c>
    </row>
    <row r="172" spans="1:9" ht="15.75" x14ac:dyDescent="0.3">
      <c r="B172" s="171"/>
      <c r="C172" s="171"/>
      <c r="D172" s="171"/>
      <c r="E172" s="114" t="s">
        <v>251</v>
      </c>
      <c r="F172" s="129" t="e">
        <f>((F168+F169)/2)*(C29+C30)</f>
        <v>#REF!</v>
      </c>
      <c r="G172" s="112" t="s">
        <v>182</v>
      </c>
    </row>
    <row r="173" spans="1:9" x14ac:dyDescent="0.2">
      <c r="B173" s="171"/>
      <c r="C173" s="171"/>
      <c r="D173" s="171"/>
    </row>
    <row r="174" spans="1:9" ht="15.75" x14ac:dyDescent="0.3">
      <c r="B174" s="171"/>
      <c r="C174" s="171"/>
      <c r="D174" s="171"/>
      <c r="E174" s="114" t="s">
        <v>252</v>
      </c>
      <c r="F174" s="128" t="e">
        <f>(1/3)*((2*F168+F169)/(F168+F169))*(C29+C30)</f>
        <v>#REF!</v>
      </c>
    </row>
    <row r="175" spans="1:9" x14ac:dyDescent="0.2">
      <c r="B175" s="171"/>
      <c r="C175" s="171"/>
      <c r="D175" s="171"/>
    </row>
    <row r="176" spans="1:9" ht="15.75" x14ac:dyDescent="0.3">
      <c r="A176" s="136"/>
      <c r="B176" s="131"/>
      <c r="C176" s="131"/>
      <c r="D176" s="132" t="s">
        <v>253</v>
      </c>
      <c r="E176" s="133" t="e">
        <f>F172</f>
        <v>#REF!</v>
      </c>
      <c r="F176" s="131" t="s">
        <v>182</v>
      </c>
      <c r="G176" s="132" t="s">
        <v>254</v>
      </c>
      <c r="H176" s="134" t="e">
        <f>F174</f>
        <v>#REF!</v>
      </c>
    </row>
    <row r="177" spans="1:7" x14ac:dyDescent="0.2">
      <c r="B177" s="171"/>
      <c r="C177" s="171"/>
      <c r="D177" s="171"/>
    </row>
    <row r="179" spans="1:7" ht="15.75" x14ac:dyDescent="0.3">
      <c r="A179" s="125" t="s">
        <v>255</v>
      </c>
      <c r="C179" s="172"/>
    </row>
    <row r="181" spans="1:7" ht="13.5" thickBot="1" x14ac:dyDescent="0.25">
      <c r="B181" s="112" t="s">
        <v>256</v>
      </c>
    </row>
    <row r="182" spans="1:7" ht="15.75" x14ac:dyDescent="0.3">
      <c r="B182" s="802" t="s">
        <v>257</v>
      </c>
      <c r="C182" s="715"/>
      <c r="D182" s="173" t="s">
        <v>258</v>
      </c>
    </row>
    <row r="183" spans="1:7" x14ac:dyDescent="0.2">
      <c r="B183" s="794">
        <v>5</v>
      </c>
      <c r="C183" s="784"/>
      <c r="D183" s="174">
        <v>4</v>
      </c>
    </row>
    <row r="184" spans="1:7" x14ac:dyDescent="0.2">
      <c r="B184" s="794">
        <v>10</v>
      </c>
      <c r="C184" s="784"/>
      <c r="D184" s="174">
        <v>3</v>
      </c>
    </row>
    <row r="185" spans="1:7" ht="13.5" thickBot="1" x14ac:dyDescent="0.25">
      <c r="B185" s="795">
        <v>20</v>
      </c>
      <c r="C185" s="796"/>
      <c r="D185" s="175">
        <v>2</v>
      </c>
    </row>
    <row r="187" spans="1:7" x14ac:dyDescent="0.2">
      <c r="E187" s="114" t="s">
        <v>259</v>
      </c>
      <c r="F187" s="128" t="e">
        <f>F171</f>
        <v>#REF!</v>
      </c>
    </row>
    <row r="188" spans="1:7" ht="15.75" x14ac:dyDescent="0.3">
      <c r="E188" s="114" t="s">
        <v>260</v>
      </c>
      <c r="F188" s="128" t="e">
        <f>IF(F187&lt;B183,D183,IF(F187&lt;B184,D183+((D184-D183)/(B184-B183))*(F187-B183),IF(F187&lt;B185,D184+((D185-D184)/(B185-B184))*(F187-B184),2)))</f>
        <v>#REF!</v>
      </c>
    </row>
    <row r="190" spans="1:7" ht="15.75" x14ac:dyDescent="0.3">
      <c r="E190" s="114" t="s">
        <v>261</v>
      </c>
      <c r="F190" s="128">
        <f>C29+C30</f>
        <v>6.1254490927370853</v>
      </c>
    </row>
    <row r="191" spans="1:7" ht="15.75" x14ac:dyDescent="0.3">
      <c r="E191" s="114" t="s">
        <v>262</v>
      </c>
      <c r="F191" s="129" t="e">
        <f>F166*F188*F190</f>
        <v>#REF!</v>
      </c>
      <c r="G191" s="112" t="s">
        <v>182</v>
      </c>
    </row>
    <row r="192" spans="1:7" x14ac:dyDescent="0.2">
      <c r="E192" s="114"/>
      <c r="F192" s="129"/>
    </row>
    <row r="193" spans="1:9" ht="15.75" x14ac:dyDescent="0.3">
      <c r="E193" s="114" t="s">
        <v>263</v>
      </c>
      <c r="F193" s="128">
        <f>F190/2</f>
        <v>3.0627245463685426</v>
      </c>
    </row>
    <row r="194" spans="1:9" x14ac:dyDescent="0.2">
      <c r="E194" s="114"/>
      <c r="F194" s="129"/>
    </row>
    <row r="195" spans="1:9" ht="15.75" x14ac:dyDescent="0.3">
      <c r="A195" s="136"/>
      <c r="B195" s="131"/>
      <c r="C195" s="131"/>
      <c r="D195" s="132" t="s">
        <v>264</v>
      </c>
      <c r="E195" s="133" t="e">
        <f>F191</f>
        <v>#REF!</v>
      </c>
      <c r="F195" s="131" t="s">
        <v>182</v>
      </c>
      <c r="G195" s="132" t="s">
        <v>265</v>
      </c>
      <c r="H195" s="134">
        <f>F193</f>
        <v>3.0627245463685426</v>
      </c>
    </row>
    <row r="196" spans="1:9" x14ac:dyDescent="0.2">
      <c r="E196" s="114"/>
      <c r="F196" s="129"/>
    </row>
    <row r="198" spans="1:9" ht="15.75" x14ac:dyDescent="0.3">
      <c r="A198" s="125" t="s">
        <v>266</v>
      </c>
    </row>
    <row r="199" spans="1:9" x14ac:dyDescent="0.2">
      <c r="A199" s="125"/>
    </row>
    <row r="200" spans="1:9" ht="15.75" x14ac:dyDescent="0.3">
      <c r="A200" s="176" t="s">
        <v>267</v>
      </c>
    </row>
    <row r="201" spans="1:9" x14ac:dyDescent="0.2">
      <c r="A201" s="112" t="s">
        <v>268</v>
      </c>
      <c r="G201" s="177">
        <v>0.1</v>
      </c>
      <c r="H201" s="112" t="s">
        <v>269</v>
      </c>
    </row>
    <row r="202" spans="1:9" x14ac:dyDescent="0.2">
      <c r="A202" s="112" t="s">
        <v>270</v>
      </c>
    </row>
    <row r="204" spans="1:9" ht="12.75" customHeight="1" x14ac:dyDescent="0.2">
      <c r="A204" s="797" t="s">
        <v>271</v>
      </c>
      <c r="B204" s="797"/>
      <c r="C204" s="797"/>
      <c r="D204" s="797"/>
      <c r="E204" s="797"/>
      <c r="F204" s="797"/>
      <c r="G204" s="797"/>
      <c r="H204" s="797"/>
      <c r="I204" s="797"/>
    </row>
    <row r="205" spans="1:9" x14ac:dyDescent="0.2">
      <c r="A205" s="797"/>
      <c r="B205" s="797"/>
      <c r="C205" s="797"/>
      <c r="D205" s="797"/>
      <c r="E205" s="797"/>
      <c r="F205" s="797"/>
      <c r="G205" s="797"/>
      <c r="H205" s="797"/>
      <c r="I205" s="797"/>
    </row>
    <row r="206" spans="1:9" x14ac:dyDescent="0.2">
      <c r="A206" s="797"/>
      <c r="B206" s="797"/>
      <c r="C206" s="797"/>
      <c r="D206" s="797"/>
      <c r="E206" s="797"/>
      <c r="F206" s="797"/>
      <c r="G206" s="797"/>
      <c r="H206" s="797"/>
      <c r="I206" s="797"/>
    </row>
    <row r="207" spans="1:9" ht="13.5" thickBot="1" x14ac:dyDescent="0.25"/>
    <row r="208" spans="1:9" ht="16.5" thickBot="1" x14ac:dyDescent="0.35">
      <c r="A208" s="775" t="s">
        <v>272</v>
      </c>
      <c r="B208" s="776"/>
      <c r="C208" s="776"/>
      <c r="D208" s="776"/>
      <c r="E208" s="776"/>
      <c r="F208" s="756" t="s">
        <v>46</v>
      </c>
      <c r="G208" s="756"/>
      <c r="H208" s="756" t="s">
        <v>48</v>
      </c>
      <c r="I208" s="777"/>
    </row>
    <row r="209" spans="1:9" ht="15.75" x14ac:dyDescent="0.3">
      <c r="A209" s="788" t="s">
        <v>273</v>
      </c>
      <c r="B209" s="789"/>
      <c r="C209" s="789"/>
      <c r="D209" s="789"/>
      <c r="E209" s="790"/>
      <c r="F209" s="791">
        <f>E134+E135</f>
        <v>1060.2093750000001</v>
      </c>
      <c r="G209" s="792"/>
      <c r="H209" s="791">
        <f>G134+G135</f>
        <v>1060.2093750000001</v>
      </c>
      <c r="I209" s="793"/>
    </row>
    <row r="210" spans="1:9" ht="16.5" thickBot="1" x14ac:dyDescent="0.35">
      <c r="A210" s="778" t="s">
        <v>274</v>
      </c>
      <c r="B210" s="779"/>
      <c r="C210" s="779"/>
      <c r="D210" s="779"/>
      <c r="E210" s="780"/>
      <c r="F210" s="781">
        <f>F209*$G$201</f>
        <v>106.02093750000002</v>
      </c>
      <c r="G210" s="781"/>
      <c r="H210" s="781">
        <f>H209*$G$201</f>
        <v>106.02093750000002</v>
      </c>
      <c r="I210" s="782"/>
    </row>
    <row r="211" spans="1:9" x14ac:dyDescent="0.2">
      <c r="E211" s="114"/>
      <c r="F211" s="178"/>
      <c r="G211" s="178"/>
      <c r="H211" s="178"/>
      <c r="I211" s="178"/>
    </row>
    <row r="212" spans="1:9" ht="15.75" x14ac:dyDescent="0.3">
      <c r="E212" s="114" t="s">
        <v>275</v>
      </c>
      <c r="F212" s="757">
        <f>C29+C30</f>
        <v>6.1254490927370853</v>
      </c>
      <c r="G212" s="757"/>
      <c r="H212" s="787"/>
      <c r="I212" s="787"/>
    </row>
    <row r="213" spans="1:9" x14ac:dyDescent="0.2">
      <c r="E213" s="114"/>
      <c r="F213" s="179"/>
      <c r="G213" s="179"/>
      <c r="H213" s="119"/>
      <c r="I213" s="119"/>
    </row>
    <row r="214" spans="1:9" ht="15.75" x14ac:dyDescent="0.3">
      <c r="A214" s="176" t="s">
        <v>276</v>
      </c>
      <c r="E214" s="114"/>
      <c r="F214" s="180"/>
      <c r="G214" s="179"/>
      <c r="H214" s="119"/>
      <c r="I214" s="119"/>
    </row>
    <row r="215" spans="1:9" x14ac:dyDescent="0.2">
      <c r="A215" s="176"/>
      <c r="E215" s="114"/>
      <c r="F215" s="180"/>
      <c r="G215" s="179"/>
      <c r="H215" s="119"/>
      <c r="I215" s="119"/>
    </row>
    <row r="216" spans="1:9" ht="15.75" x14ac:dyDescent="0.3">
      <c r="A216" s="176"/>
      <c r="D216" s="181" t="s">
        <v>277</v>
      </c>
      <c r="E216" s="112" t="s">
        <v>278</v>
      </c>
      <c r="F216" s="182"/>
      <c r="G216" s="112" t="s">
        <v>279</v>
      </c>
      <c r="H216" s="183"/>
      <c r="I216" s="176"/>
    </row>
    <row r="217" spans="1:9" ht="15.75" x14ac:dyDescent="0.3">
      <c r="D217" s="181" t="s">
        <v>277</v>
      </c>
      <c r="E217" s="184">
        <v>5.4</v>
      </c>
      <c r="F217" s="179" t="s">
        <v>280</v>
      </c>
      <c r="G217" s="182" t="s">
        <v>281</v>
      </c>
      <c r="H217" s="119"/>
      <c r="I217" s="119"/>
    </row>
    <row r="218" spans="1:9" x14ac:dyDescent="0.2">
      <c r="D218" s="114" t="s">
        <v>282</v>
      </c>
      <c r="E218" s="114">
        <f>E10</f>
        <v>7</v>
      </c>
      <c r="F218" s="179"/>
      <c r="G218" s="179"/>
      <c r="H218" s="119"/>
      <c r="I218" s="119"/>
    </row>
    <row r="219" spans="1:9" ht="15.75" x14ac:dyDescent="0.3">
      <c r="D219" s="114" t="s">
        <v>283</v>
      </c>
      <c r="E219" s="185">
        <f>E217*E218</f>
        <v>37.800000000000004</v>
      </c>
      <c r="F219" s="179" t="s">
        <v>280</v>
      </c>
      <c r="G219" s="179"/>
      <c r="H219" s="119"/>
      <c r="I219" s="119"/>
    </row>
    <row r="220" spans="1:9" ht="13.5" thickBot="1" x14ac:dyDescent="0.25">
      <c r="D220" s="114"/>
      <c r="E220" s="185"/>
      <c r="F220" s="179"/>
      <c r="G220" s="179"/>
      <c r="H220" s="119"/>
      <c r="I220" s="119"/>
    </row>
    <row r="221" spans="1:9" ht="16.5" thickBot="1" x14ac:dyDescent="0.35">
      <c r="A221" s="775" t="s">
        <v>284</v>
      </c>
      <c r="B221" s="776"/>
      <c r="C221" s="776"/>
      <c r="D221" s="776"/>
      <c r="E221" s="776"/>
      <c r="F221" s="756" t="s">
        <v>46</v>
      </c>
      <c r="G221" s="756"/>
      <c r="H221" s="756" t="s">
        <v>48</v>
      </c>
      <c r="I221" s="777"/>
    </row>
    <row r="222" spans="1:9" ht="16.5" thickBot="1" x14ac:dyDescent="0.35">
      <c r="A222" s="778" t="s">
        <v>285</v>
      </c>
      <c r="B222" s="779"/>
      <c r="C222" s="779"/>
      <c r="D222" s="779"/>
      <c r="E222" s="780"/>
      <c r="F222" s="781">
        <f>E219</f>
        <v>37.800000000000004</v>
      </c>
      <c r="G222" s="781"/>
      <c r="H222" s="781">
        <f>E219</f>
        <v>37.800000000000004</v>
      </c>
      <c r="I222" s="782"/>
    </row>
    <row r="223" spans="1:9" x14ac:dyDescent="0.2">
      <c r="D223" s="114"/>
      <c r="E223" s="185"/>
      <c r="F223" s="179"/>
      <c r="G223" s="179"/>
      <c r="H223" s="119"/>
      <c r="I223" s="119"/>
    </row>
    <row r="224" spans="1:9" ht="15.75" x14ac:dyDescent="0.3">
      <c r="D224" s="114"/>
      <c r="E224" s="114" t="s">
        <v>275</v>
      </c>
      <c r="F224" s="757">
        <f>C29+C30</f>
        <v>6.1254490927370853</v>
      </c>
      <c r="G224" s="757"/>
      <c r="H224" s="113"/>
      <c r="I224" s="119"/>
    </row>
    <row r="225" spans="1:9" x14ac:dyDescent="0.2">
      <c r="D225" s="114"/>
      <c r="E225" s="185"/>
      <c r="F225" s="179"/>
      <c r="G225" s="179"/>
      <c r="H225" s="119"/>
      <c r="I225" s="119"/>
    </row>
    <row r="226" spans="1:9" ht="15.75" x14ac:dyDescent="0.3">
      <c r="A226" s="125" t="s">
        <v>286</v>
      </c>
    </row>
    <row r="227" spans="1:9" x14ac:dyDescent="0.2">
      <c r="A227" s="125"/>
    </row>
    <row r="228" spans="1:9" x14ac:dyDescent="0.2">
      <c r="A228" s="125"/>
      <c r="B228" s="112" t="s">
        <v>287</v>
      </c>
      <c r="F228" s="186">
        <f>0.25*(8+32+32)</f>
        <v>18</v>
      </c>
      <c r="G228" s="112" t="s">
        <v>288</v>
      </c>
    </row>
    <row r="229" spans="1:9" x14ac:dyDescent="0.2">
      <c r="A229" s="125"/>
    </row>
    <row r="230" spans="1:9" x14ac:dyDescent="0.2">
      <c r="A230" s="125"/>
      <c r="B230" s="112" t="s">
        <v>289</v>
      </c>
      <c r="F230" s="186">
        <f>0.25*(25+25)</f>
        <v>12.5</v>
      </c>
      <c r="G230" s="112" t="s">
        <v>288</v>
      </c>
    </row>
    <row r="231" spans="1:9" x14ac:dyDescent="0.2">
      <c r="A231" s="125"/>
    </row>
    <row r="232" spans="1:9" x14ac:dyDescent="0.2">
      <c r="A232" s="125"/>
      <c r="B232" s="112" t="s">
        <v>290</v>
      </c>
      <c r="F232" s="186">
        <f>0.05*((8+32+32)+E13*0.64)</f>
        <v>6.4879999999999995</v>
      </c>
      <c r="G232" s="112" t="s">
        <v>288</v>
      </c>
    </row>
    <row r="233" spans="1:9" x14ac:dyDescent="0.2">
      <c r="A233" s="125"/>
      <c r="F233" s="119"/>
    </row>
    <row r="234" spans="1:9" x14ac:dyDescent="0.2">
      <c r="A234" s="125"/>
      <c r="B234" s="112" t="s">
        <v>291</v>
      </c>
      <c r="F234" s="186">
        <f>0.05*((25+25)+E13*0.64)</f>
        <v>5.3879999999999999</v>
      </c>
      <c r="G234" s="112" t="s">
        <v>288</v>
      </c>
    </row>
    <row r="235" spans="1:9" x14ac:dyDescent="0.2">
      <c r="A235" s="125"/>
    </row>
    <row r="236" spans="1:9" x14ac:dyDescent="0.2">
      <c r="A236" s="125"/>
      <c r="B236" s="112" t="s">
        <v>292</v>
      </c>
      <c r="D236" s="186">
        <f>MAX(F228:F234)</f>
        <v>18</v>
      </c>
      <c r="E236" s="112" t="s">
        <v>288</v>
      </c>
    </row>
    <row r="237" spans="1:9" x14ac:dyDescent="0.2">
      <c r="A237" s="125"/>
      <c r="D237" s="186"/>
    </row>
    <row r="238" spans="1:9" ht="12.75" customHeight="1" x14ac:dyDescent="0.2">
      <c r="A238" s="125"/>
      <c r="B238" s="785" t="s">
        <v>207</v>
      </c>
      <c r="C238" s="785"/>
      <c r="D238" s="785"/>
      <c r="E238" s="786" t="s">
        <v>293</v>
      </c>
      <c r="F238" s="786"/>
      <c r="G238" s="187"/>
      <c r="H238" s="187"/>
    </row>
    <row r="239" spans="1:9" ht="12.75" customHeight="1" x14ac:dyDescent="0.2">
      <c r="A239" s="125"/>
      <c r="B239" s="786" t="s">
        <v>210</v>
      </c>
      <c r="C239" s="786" t="s">
        <v>211</v>
      </c>
      <c r="D239" s="786"/>
      <c r="E239" s="786"/>
      <c r="F239" s="786"/>
      <c r="G239" s="187"/>
      <c r="H239" s="187"/>
    </row>
    <row r="240" spans="1:9" x14ac:dyDescent="0.2">
      <c r="A240" s="125"/>
      <c r="B240" s="786"/>
      <c r="C240" s="786"/>
      <c r="D240" s="786"/>
      <c r="E240" s="786"/>
      <c r="F240" s="786"/>
      <c r="G240" s="187"/>
      <c r="H240" s="187"/>
    </row>
    <row r="241" spans="1:10" x14ac:dyDescent="0.2">
      <c r="A241" s="125"/>
      <c r="B241" s="146">
        <f>IF($E$15&gt;=1,1,"N/A")</f>
        <v>1</v>
      </c>
      <c r="C241" s="783">
        <v>1.2</v>
      </c>
      <c r="D241" s="783"/>
      <c r="E241" s="784">
        <f>IF($E$15&gt;=1,0.5*B241*C241*$D$236,"N/A")</f>
        <v>10.799999999999999</v>
      </c>
      <c r="F241" s="784"/>
      <c r="G241" s="188"/>
      <c r="H241" s="188"/>
    </row>
    <row r="242" spans="1:10" x14ac:dyDescent="0.2">
      <c r="A242" s="125"/>
      <c r="B242" s="146">
        <f>IF($E$15&gt;=2,2,"N/A")</f>
        <v>2</v>
      </c>
      <c r="C242" s="783">
        <v>1</v>
      </c>
      <c r="D242" s="783"/>
      <c r="E242" s="784">
        <f>IF($E$15&gt;=2,0.5*B242*C242*$D$236,"N/A")</f>
        <v>18</v>
      </c>
      <c r="F242" s="784"/>
      <c r="G242" s="188"/>
      <c r="H242" s="188"/>
    </row>
    <row r="243" spans="1:10" x14ac:dyDescent="0.2">
      <c r="A243" s="125"/>
      <c r="B243" s="146">
        <f>IF($E$15&gt;=3,3,"N/A")</f>
        <v>3</v>
      </c>
      <c r="C243" s="783">
        <v>0.85</v>
      </c>
      <c r="D243" s="783"/>
      <c r="E243" s="784">
        <f>IF($E$15&gt;=3,0.5*B243*C243*$D$236,"N/A")</f>
        <v>22.95</v>
      </c>
      <c r="F243" s="784"/>
      <c r="G243" s="188"/>
      <c r="H243" s="188"/>
    </row>
    <row r="244" spans="1:10" x14ac:dyDescent="0.2">
      <c r="A244" s="125"/>
      <c r="B244" s="146">
        <f>IF($E$15&gt;=4,$E$15,"N/A")</f>
        <v>5</v>
      </c>
      <c r="C244" s="783">
        <v>0.65</v>
      </c>
      <c r="D244" s="783"/>
      <c r="E244" s="784">
        <f>IF($E$15&gt;=4,0.5*B244*C244*$D$236,"N/A")</f>
        <v>29.25</v>
      </c>
      <c r="F244" s="784"/>
      <c r="G244" s="188"/>
      <c r="H244" s="188"/>
    </row>
    <row r="245" spans="1:10" x14ac:dyDescent="0.2">
      <c r="A245" s="125"/>
      <c r="B245" s="772" t="s">
        <v>294</v>
      </c>
      <c r="C245" s="772"/>
      <c r="D245" s="772"/>
      <c r="E245" s="773">
        <f>MAX(E241:F244)</f>
        <v>29.25</v>
      </c>
      <c r="F245" s="774"/>
      <c r="G245" s="148"/>
      <c r="H245" s="149"/>
    </row>
    <row r="246" spans="1:10" x14ac:dyDescent="0.2">
      <c r="A246" s="125"/>
      <c r="B246" s="112" t="s">
        <v>295</v>
      </c>
      <c r="D246" s="186"/>
    </row>
    <row r="248" spans="1:10" ht="13.5" thickBot="1" x14ac:dyDescent="0.25"/>
    <row r="249" spans="1:10" ht="16.5" thickBot="1" x14ac:dyDescent="0.35">
      <c r="A249" s="775" t="s">
        <v>296</v>
      </c>
      <c r="B249" s="776"/>
      <c r="C249" s="776"/>
      <c r="D249" s="776"/>
      <c r="E249" s="776"/>
      <c r="F249" s="756" t="s">
        <v>46</v>
      </c>
      <c r="G249" s="756"/>
      <c r="H249" s="756" t="s">
        <v>48</v>
      </c>
      <c r="I249" s="777"/>
    </row>
    <row r="250" spans="1:10" ht="16.5" thickBot="1" x14ac:dyDescent="0.35">
      <c r="A250" s="778" t="s">
        <v>297</v>
      </c>
      <c r="B250" s="779"/>
      <c r="C250" s="779"/>
      <c r="D250" s="779"/>
      <c r="E250" s="780"/>
      <c r="F250" s="781">
        <f>E245</f>
        <v>29.25</v>
      </c>
      <c r="G250" s="781"/>
      <c r="H250" s="781">
        <f>E245</f>
        <v>29.25</v>
      </c>
      <c r="I250" s="782"/>
    </row>
    <row r="252" spans="1:10" ht="15.75" x14ac:dyDescent="0.3">
      <c r="E252" s="114" t="s">
        <v>298</v>
      </c>
      <c r="F252" s="757">
        <f>C29+C30</f>
        <v>6.1254490927370853</v>
      </c>
      <c r="G252" s="757"/>
    </row>
    <row r="254" spans="1:10" x14ac:dyDescent="0.2">
      <c r="A254" s="153" t="s">
        <v>299</v>
      </c>
      <c r="B254" s="111"/>
      <c r="C254" s="111"/>
      <c r="D254" s="111"/>
    </row>
    <row r="255" spans="1:10" ht="13.5" thickBot="1" x14ac:dyDescent="0.25">
      <c r="A255" s="111"/>
      <c r="B255" s="111"/>
      <c r="C255" s="111"/>
      <c r="D255" s="111"/>
    </row>
    <row r="256" spans="1:10" x14ac:dyDescent="0.2">
      <c r="A256" s="758" t="s">
        <v>216</v>
      </c>
      <c r="B256" s="759"/>
      <c r="C256" s="760"/>
      <c r="D256" s="764" t="s">
        <v>229</v>
      </c>
      <c r="E256" s="765"/>
      <c r="F256" s="768" t="s">
        <v>300</v>
      </c>
      <c r="G256" s="770" t="s">
        <v>46</v>
      </c>
      <c r="H256" s="737"/>
      <c r="I256" s="770" t="s">
        <v>48</v>
      </c>
      <c r="J256" s="771"/>
    </row>
    <row r="257" spans="1:10" ht="13.5" thickBot="1" x14ac:dyDescent="0.25">
      <c r="A257" s="761"/>
      <c r="B257" s="762"/>
      <c r="C257" s="763"/>
      <c r="D257" s="766"/>
      <c r="E257" s="767"/>
      <c r="F257" s="769"/>
      <c r="G257" s="154" t="s">
        <v>230</v>
      </c>
      <c r="H257" s="154" t="s">
        <v>231</v>
      </c>
      <c r="I257" s="154" t="s">
        <v>230</v>
      </c>
      <c r="J257" s="155" t="s">
        <v>231</v>
      </c>
    </row>
    <row r="258" spans="1:10" ht="16.5" thickTop="1" x14ac:dyDescent="0.3">
      <c r="A258" s="744" t="s">
        <v>301</v>
      </c>
      <c r="B258" s="745"/>
      <c r="C258" s="746"/>
      <c r="D258" s="156" t="s">
        <v>254</v>
      </c>
      <c r="E258" s="157" t="e">
        <f>H176</f>
        <v>#REF!</v>
      </c>
      <c r="F258" s="189">
        <v>1</v>
      </c>
      <c r="G258" s="158" t="e">
        <f>E176*H8*F258</f>
        <v>#REF!</v>
      </c>
      <c r="H258" s="159" t="e">
        <f>E258*G258</f>
        <v>#REF!</v>
      </c>
      <c r="I258" s="158" t="e">
        <f>E176*I8*F258</f>
        <v>#REF!</v>
      </c>
      <c r="J258" s="160" t="e">
        <f>E258*I258</f>
        <v>#REF!</v>
      </c>
    </row>
    <row r="259" spans="1:10" ht="15.75" x14ac:dyDescent="0.3">
      <c r="A259" s="747" t="s">
        <v>302</v>
      </c>
      <c r="B259" s="748"/>
      <c r="C259" s="749"/>
      <c r="D259" s="156" t="s">
        <v>265</v>
      </c>
      <c r="E259" s="162">
        <f>H195</f>
        <v>3.0627245463685426</v>
      </c>
      <c r="F259" s="190">
        <v>1</v>
      </c>
      <c r="G259" s="163" t="e">
        <f>E195*H8*F259</f>
        <v>#REF!</v>
      </c>
      <c r="H259" s="164" t="e">
        <f>E259*G259</f>
        <v>#REF!</v>
      </c>
      <c r="I259" s="163" t="e">
        <f>E195*I8*F259</f>
        <v>#REF!</v>
      </c>
      <c r="J259" s="165" t="e">
        <f>E259*I259</f>
        <v>#REF!</v>
      </c>
    </row>
    <row r="260" spans="1:10" ht="16.5" customHeight="1" x14ac:dyDescent="0.3">
      <c r="A260" s="750" t="s">
        <v>303</v>
      </c>
      <c r="B260" s="751"/>
      <c r="C260" s="749"/>
      <c r="D260" s="156" t="s">
        <v>275</v>
      </c>
      <c r="E260" s="162">
        <f>F212</f>
        <v>6.1254490927370853</v>
      </c>
      <c r="F260" s="191">
        <v>1</v>
      </c>
      <c r="G260" s="163">
        <f>F210*F260</f>
        <v>106.02093750000002</v>
      </c>
      <c r="H260" s="164">
        <f>E260*G260</f>
        <v>649.42585542051029</v>
      </c>
      <c r="I260" s="163">
        <f>H210*F260</f>
        <v>106.02093750000002</v>
      </c>
      <c r="J260" s="165">
        <f>E260*I260</f>
        <v>649.42585542051029</v>
      </c>
    </row>
    <row r="261" spans="1:10" ht="15" customHeight="1" x14ac:dyDescent="0.3">
      <c r="A261" s="747" t="s">
        <v>304</v>
      </c>
      <c r="B261" s="748"/>
      <c r="C261" s="749"/>
      <c r="D261" s="156" t="s">
        <v>275</v>
      </c>
      <c r="E261" s="192">
        <f>F224</f>
        <v>6.1254490927370853</v>
      </c>
      <c r="F261" s="193">
        <v>0</v>
      </c>
      <c r="G261" s="194">
        <f>F222*F261</f>
        <v>0</v>
      </c>
      <c r="H261" s="195">
        <f>G261*E261</f>
        <v>0</v>
      </c>
      <c r="I261" s="194">
        <f>F222*F261</f>
        <v>0</v>
      </c>
      <c r="J261" s="196">
        <f>I261*E261</f>
        <v>0</v>
      </c>
    </row>
    <row r="262" spans="1:10" ht="16.5" thickBot="1" x14ac:dyDescent="0.35">
      <c r="A262" s="752" t="s">
        <v>305</v>
      </c>
      <c r="B262" s="753"/>
      <c r="C262" s="754"/>
      <c r="D262" s="197" t="s">
        <v>298</v>
      </c>
      <c r="E262" s="198">
        <f>F252</f>
        <v>6.1254490927370853</v>
      </c>
      <c r="F262" s="199">
        <v>1</v>
      </c>
      <c r="G262" s="200">
        <f>F250*F262</f>
        <v>29.25</v>
      </c>
      <c r="H262" s="201">
        <f>E262*G262</f>
        <v>179.16938596255974</v>
      </c>
      <c r="I262" s="200">
        <f>H250*F262</f>
        <v>29.25</v>
      </c>
      <c r="J262" s="202">
        <f>E262*I262</f>
        <v>179.16938596255974</v>
      </c>
    </row>
    <row r="263" spans="1:10" x14ac:dyDescent="0.2">
      <c r="A263" s="112" t="s">
        <v>306</v>
      </c>
    </row>
    <row r="265" spans="1:10" x14ac:dyDescent="0.2">
      <c r="A265" s="122" t="s">
        <v>307</v>
      </c>
    </row>
    <row r="267" spans="1:10" x14ac:dyDescent="0.2">
      <c r="C267" s="111"/>
      <c r="D267" s="114" t="s">
        <v>308</v>
      </c>
      <c r="E267" s="126">
        <v>7.5</v>
      </c>
      <c r="F267" s="112" t="s">
        <v>309</v>
      </c>
    </row>
    <row r="268" spans="1:10" x14ac:dyDescent="0.2">
      <c r="D268" s="114" t="s">
        <v>310</v>
      </c>
      <c r="E268" s="126">
        <v>2</v>
      </c>
    </row>
    <row r="269" spans="1:10" ht="13.5" thickBot="1" x14ac:dyDescent="0.25">
      <c r="D269" s="114"/>
      <c r="E269" s="203"/>
    </row>
    <row r="270" spans="1:10" ht="26.25" thickBot="1" x14ac:dyDescent="0.25">
      <c r="A270" s="755"/>
      <c r="B270" s="756"/>
      <c r="C270" s="756"/>
      <c r="D270" s="756"/>
      <c r="E270" s="448" t="s">
        <v>46</v>
      </c>
      <c r="F270" s="448" t="s">
        <v>48</v>
      </c>
      <c r="G270"/>
      <c r="H270"/>
    </row>
    <row r="271" spans="1:10" ht="13.5" thickBot="1" x14ac:dyDescent="0.25">
      <c r="A271" s="742" t="s">
        <v>311</v>
      </c>
      <c r="B271" s="743"/>
      <c r="C271" s="743"/>
      <c r="D271" s="743"/>
      <c r="E271" s="449">
        <f>ODD(ROUNDUP(((H8-6)/$E$267),0)+1)</f>
        <v>11</v>
      </c>
      <c r="F271" s="449">
        <f>ODD(ROUNDUP(((I8-6)/$E$267),0)+1)</f>
        <v>11</v>
      </c>
      <c r="G271"/>
      <c r="H271"/>
    </row>
    <row r="273" spans="1:9" x14ac:dyDescent="0.2">
      <c r="A273" s="731" t="s">
        <v>312</v>
      </c>
      <c r="B273" s="731"/>
      <c r="C273" s="731"/>
      <c r="D273" s="731"/>
      <c r="E273" s="731"/>
      <c r="F273" s="731"/>
      <c r="G273" s="731"/>
      <c r="H273" s="731"/>
      <c r="I273" s="731"/>
    </row>
    <row r="274" spans="1:9" x14ac:dyDescent="0.2">
      <c r="A274" s="731"/>
      <c r="B274" s="731"/>
      <c r="C274" s="731"/>
      <c r="D274" s="731"/>
      <c r="E274" s="731"/>
      <c r="F274" s="731"/>
      <c r="G274" s="731"/>
      <c r="H274" s="731"/>
      <c r="I274" s="731"/>
    </row>
    <row r="275" spans="1:9" x14ac:dyDescent="0.2">
      <c r="A275" s="204"/>
      <c r="B275" s="204"/>
      <c r="C275" s="204"/>
      <c r="D275" s="204"/>
      <c r="E275" s="204"/>
      <c r="F275" s="204"/>
      <c r="G275" s="204"/>
      <c r="H275" s="204"/>
      <c r="I275" s="204"/>
    </row>
    <row r="276" spans="1:9" x14ac:dyDescent="0.2">
      <c r="A276" s="204"/>
      <c r="B276" s="204"/>
      <c r="C276" s="204"/>
      <c r="D276" s="204"/>
      <c r="E276" s="204"/>
      <c r="F276" s="204"/>
      <c r="G276" s="204"/>
      <c r="H276" s="204"/>
      <c r="I276" s="204"/>
    </row>
    <row r="277" spans="1:9" x14ac:dyDescent="0.2">
      <c r="A277" s="204"/>
      <c r="B277" s="204"/>
      <c r="C277" s="204"/>
      <c r="D277" s="204"/>
      <c r="E277" s="204"/>
      <c r="F277" s="204"/>
      <c r="G277" s="204"/>
      <c r="H277" s="204"/>
      <c r="I277" s="204"/>
    </row>
    <row r="278" spans="1:9" ht="15.75" x14ac:dyDescent="0.3">
      <c r="A278" s="204"/>
      <c r="B278" s="205" t="s">
        <v>313</v>
      </c>
      <c r="C278" s="204"/>
      <c r="D278" s="205" t="s">
        <v>314</v>
      </c>
      <c r="E278" s="204"/>
      <c r="F278" s="204"/>
      <c r="G278" s="204"/>
      <c r="H278" s="204"/>
      <c r="I278" s="204"/>
    </row>
    <row r="279" spans="1:9" x14ac:dyDescent="0.2">
      <c r="A279" s="204"/>
      <c r="B279" s="204"/>
      <c r="C279" s="204"/>
      <c r="D279" s="204"/>
      <c r="E279" s="204"/>
      <c r="F279" s="204"/>
      <c r="G279" s="204"/>
      <c r="H279" s="204"/>
      <c r="I279" s="204"/>
    </row>
    <row r="280" spans="1:9" x14ac:dyDescent="0.2">
      <c r="A280" s="204"/>
      <c r="B280" s="204"/>
      <c r="C280" s="204"/>
      <c r="D280" s="183" t="s">
        <v>315</v>
      </c>
      <c r="E280" s="204"/>
      <c r="F280" s="204"/>
      <c r="G280" s="204"/>
      <c r="H280" s="204"/>
      <c r="I280" s="204"/>
    </row>
    <row r="281" spans="1:9" x14ac:dyDescent="0.2">
      <c r="A281" s="731" t="s">
        <v>316</v>
      </c>
      <c r="B281" s="731"/>
      <c r="C281" s="204"/>
      <c r="D281" s="204"/>
      <c r="E281" s="204"/>
      <c r="F281" s="204"/>
      <c r="G281" s="204"/>
      <c r="H281" s="204"/>
      <c r="I281" s="204"/>
    </row>
    <row r="282" spans="1:9" x14ac:dyDescent="0.2">
      <c r="A282" s="731"/>
      <c r="B282" s="731"/>
      <c r="C282" s="204"/>
      <c r="D282" s="204"/>
      <c r="E282" s="204"/>
      <c r="F282" s="204"/>
      <c r="G282" s="204"/>
      <c r="H282" s="204"/>
      <c r="I282" s="204"/>
    </row>
    <row r="283" spans="1:9" ht="15.75" x14ac:dyDescent="0.3">
      <c r="A283" s="204"/>
      <c r="B283" s="204"/>
      <c r="C283" s="204"/>
      <c r="D283" s="183" t="s">
        <v>317</v>
      </c>
      <c r="E283" s="204"/>
      <c r="F283" s="204"/>
      <c r="G283" s="204"/>
      <c r="H283" s="204"/>
      <c r="I283" s="204"/>
    </row>
    <row r="284" spans="1:9" x14ac:dyDescent="0.2">
      <c r="A284" s="204"/>
      <c r="B284" s="204"/>
      <c r="C284" s="204"/>
      <c r="D284" s="204"/>
      <c r="E284" s="204"/>
      <c r="F284" s="204"/>
      <c r="G284" s="204"/>
      <c r="H284" s="204"/>
      <c r="I284" s="204"/>
    </row>
    <row r="285" spans="1:9" x14ac:dyDescent="0.2">
      <c r="A285" s="204"/>
      <c r="B285" s="204"/>
      <c r="C285" s="204"/>
      <c r="D285" s="204"/>
      <c r="E285" s="204"/>
      <c r="F285" s="204"/>
      <c r="G285" s="204"/>
      <c r="H285" s="204"/>
      <c r="I285" s="204"/>
    </row>
    <row r="286" spans="1:9" x14ac:dyDescent="0.2">
      <c r="A286" s="204"/>
      <c r="B286" s="204"/>
      <c r="C286" s="204"/>
      <c r="D286" s="204"/>
      <c r="E286" s="204"/>
      <c r="F286" s="204"/>
      <c r="G286" s="204"/>
      <c r="H286" s="204"/>
      <c r="I286" s="204"/>
    </row>
    <row r="287" spans="1:9" x14ac:dyDescent="0.2">
      <c r="A287" s="204"/>
      <c r="B287" s="204"/>
      <c r="C287" s="204"/>
      <c r="D287" s="204"/>
      <c r="E287" s="204"/>
      <c r="F287" s="204"/>
      <c r="G287" s="204"/>
      <c r="H287" s="204"/>
      <c r="I287" s="204"/>
    </row>
    <row r="288" spans="1:9" x14ac:dyDescent="0.2">
      <c r="A288" s="125" t="s">
        <v>318</v>
      </c>
    </row>
    <row r="289" spans="1:39" ht="15.75" x14ac:dyDescent="0.3">
      <c r="B289" s="114" t="s">
        <v>319</v>
      </c>
      <c r="C289" s="118">
        <v>11</v>
      </c>
      <c r="D289" s="112" t="s">
        <v>320</v>
      </c>
      <c r="E289" s="114" t="s">
        <v>321</v>
      </c>
      <c r="F289" s="182">
        <f>C26</f>
        <v>1.5</v>
      </c>
      <c r="H289" s="114" t="s">
        <v>322</v>
      </c>
      <c r="I289" s="137">
        <f>G291-F289</f>
        <v>1.2352941176470589</v>
      </c>
    </row>
    <row r="290" spans="1:39" ht="15.75" x14ac:dyDescent="0.3">
      <c r="B290" s="114" t="s">
        <v>323</v>
      </c>
      <c r="C290" s="118">
        <v>6</v>
      </c>
      <c r="D290" s="112" t="s">
        <v>320</v>
      </c>
      <c r="E290" s="114" t="s">
        <v>324</v>
      </c>
      <c r="F290" s="182">
        <f>C21-C27</f>
        <v>5</v>
      </c>
      <c r="H290" s="114" t="s">
        <v>325</v>
      </c>
      <c r="I290" s="137">
        <f>G291-F290</f>
        <v>-2.2647058823529411</v>
      </c>
    </row>
    <row r="291" spans="1:39" ht="15.75" x14ac:dyDescent="0.3">
      <c r="B291" s="114" t="s">
        <v>326</v>
      </c>
      <c r="C291" s="119">
        <f>SUM(C289:C290)</f>
        <v>17</v>
      </c>
      <c r="D291" s="112" t="s">
        <v>320</v>
      </c>
      <c r="F291" s="114" t="s">
        <v>327</v>
      </c>
      <c r="G291" s="179">
        <f>((C289*F289)+(C290*F290))/(C291)</f>
        <v>2.7352941176470589</v>
      </c>
      <c r="H291" s="112" t="s">
        <v>328</v>
      </c>
    </row>
    <row r="292" spans="1:39" x14ac:dyDescent="0.2">
      <c r="B292" s="114"/>
      <c r="C292" s="119"/>
      <c r="E292" s="114"/>
      <c r="F292" s="119"/>
    </row>
    <row r="293" spans="1:39" ht="15.75" x14ac:dyDescent="0.3">
      <c r="B293" s="114" t="s">
        <v>329</v>
      </c>
      <c r="C293" s="186">
        <f>C289*I289^2+C290*I290^2</f>
        <v>47.558823529411768</v>
      </c>
      <c r="D293" s="112" t="s">
        <v>330</v>
      </c>
      <c r="E293" s="114"/>
      <c r="F293" s="119"/>
    </row>
    <row r="295" spans="1:39" x14ac:dyDescent="0.2">
      <c r="A295" s="125" t="s">
        <v>331</v>
      </c>
    </row>
    <row r="296" spans="1:39" ht="15.75" x14ac:dyDescent="0.3">
      <c r="B296" s="114" t="s">
        <v>319</v>
      </c>
      <c r="C296" s="118">
        <v>11</v>
      </c>
      <c r="D296" s="112" t="s">
        <v>320</v>
      </c>
      <c r="E296" s="114" t="s">
        <v>321</v>
      </c>
      <c r="F296" s="182">
        <f>C26</f>
        <v>1.5</v>
      </c>
      <c r="H296" s="114" t="s">
        <v>322</v>
      </c>
      <c r="I296" s="137">
        <f>G298-F296</f>
        <v>1.2352941176470589</v>
      </c>
    </row>
    <row r="297" spans="1:39" ht="15.75" x14ac:dyDescent="0.3">
      <c r="B297" s="114" t="s">
        <v>323</v>
      </c>
      <c r="C297" s="118">
        <v>6</v>
      </c>
      <c r="D297" s="112" t="s">
        <v>320</v>
      </c>
      <c r="E297" s="114" t="s">
        <v>324</v>
      </c>
      <c r="F297" s="182">
        <f>C21-C27</f>
        <v>5</v>
      </c>
      <c r="H297" s="114" t="s">
        <v>325</v>
      </c>
      <c r="I297" s="137">
        <f>G298-F297</f>
        <v>-2.2647058823529411</v>
      </c>
    </row>
    <row r="298" spans="1:39" ht="15.75" x14ac:dyDescent="0.3">
      <c r="B298" s="114" t="s">
        <v>326</v>
      </c>
      <c r="C298" s="119">
        <f>SUM(C296:C297)</f>
        <v>17</v>
      </c>
      <c r="D298" s="112" t="s">
        <v>320</v>
      </c>
      <c r="F298" s="114" t="s">
        <v>327</v>
      </c>
      <c r="G298" s="179">
        <f>((C296*F296)+(C297*F297))/(C298)</f>
        <v>2.7352941176470589</v>
      </c>
    </row>
    <row r="299" spans="1:39" x14ac:dyDescent="0.2">
      <c r="B299" s="114"/>
      <c r="C299" s="119"/>
      <c r="E299" s="114"/>
      <c r="F299" s="119"/>
    </row>
    <row r="300" spans="1:39" ht="15.75" x14ac:dyDescent="0.3">
      <c r="B300" s="114" t="s">
        <v>329</v>
      </c>
      <c r="C300" s="186">
        <f>C296*I296^2+C297*I297^2</f>
        <v>47.558823529411768</v>
      </c>
      <c r="D300" s="112" t="s">
        <v>330</v>
      </c>
      <c r="E300" s="114"/>
      <c r="F300" s="119"/>
      <c r="N300" s="206"/>
      <c r="O300" s="206"/>
      <c r="P300" s="206"/>
      <c r="Q300" s="206"/>
      <c r="R300" s="206"/>
      <c r="S300" s="206"/>
      <c r="T300" s="206"/>
      <c r="U300" s="206"/>
      <c r="V300" s="206"/>
      <c r="W300" s="206"/>
      <c r="X300" s="206"/>
      <c r="Y300" s="206"/>
      <c r="Z300" s="206"/>
      <c r="AA300" s="206"/>
      <c r="AB300" s="206"/>
      <c r="AC300" s="206"/>
      <c r="AD300" s="206"/>
      <c r="AE300" s="206"/>
      <c r="AF300" s="206"/>
      <c r="AG300" s="206"/>
      <c r="AH300" s="206"/>
      <c r="AI300" s="206"/>
      <c r="AJ300" s="206"/>
      <c r="AK300" s="206"/>
      <c r="AL300" s="206"/>
      <c r="AM300" s="206"/>
    </row>
    <row r="301" spans="1:39" x14ac:dyDescent="0.2">
      <c r="N301" s="206"/>
      <c r="O301" s="206"/>
      <c r="P301" s="206"/>
      <c r="Q301" s="206"/>
      <c r="R301" s="206"/>
      <c r="S301" s="206"/>
      <c r="T301" s="206"/>
      <c r="U301" s="206"/>
      <c r="V301" s="206"/>
      <c r="W301" s="206"/>
      <c r="X301" s="206"/>
      <c r="Y301" s="206"/>
      <c r="Z301" s="206"/>
      <c r="AA301" s="206"/>
      <c r="AB301" s="206"/>
      <c r="AC301" s="206"/>
      <c r="AD301" s="206"/>
      <c r="AE301" s="206"/>
      <c r="AF301" s="206"/>
      <c r="AG301" s="206"/>
      <c r="AH301" s="206"/>
      <c r="AI301" s="206"/>
      <c r="AJ301" s="206"/>
      <c r="AK301" s="206"/>
      <c r="AL301" s="206"/>
      <c r="AM301" s="206"/>
    </row>
    <row r="302" spans="1:39" x14ac:dyDescent="0.2">
      <c r="A302" s="122" t="s">
        <v>332</v>
      </c>
      <c r="N302" s="206"/>
      <c r="O302" s="206"/>
      <c r="P302" s="206"/>
      <c r="Q302" s="206"/>
      <c r="R302" s="206"/>
      <c r="S302" s="206"/>
      <c r="T302" s="206"/>
      <c r="U302" s="206"/>
      <c r="V302" s="206"/>
      <c r="W302" s="206"/>
      <c r="X302" s="206"/>
      <c r="Y302" s="206"/>
      <c r="Z302" s="206"/>
      <c r="AA302" s="206"/>
      <c r="AB302" s="206"/>
      <c r="AC302" s="206"/>
      <c r="AD302" s="206"/>
      <c r="AE302" s="206"/>
      <c r="AF302" s="206"/>
      <c r="AG302" s="206"/>
      <c r="AH302" s="206"/>
      <c r="AI302" s="206"/>
      <c r="AJ302" s="206"/>
      <c r="AK302" s="206"/>
      <c r="AL302" s="206"/>
      <c r="AM302" s="206"/>
    </row>
    <row r="303" spans="1:39" ht="13.5" thickBot="1" x14ac:dyDescent="0.25">
      <c r="A303" s="122"/>
      <c r="N303" s="206"/>
      <c r="O303" s="206"/>
      <c r="P303" s="206"/>
      <c r="Q303" s="206"/>
      <c r="R303" s="206"/>
      <c r="S303" s="206"/>
      <c r="T303" s="206"/>
      <c r="U303" s="206"/>
      <c r="V303" s="206"/>
      <c r="W303" s="206"/>
      <c r="X303" s="206"/>
      <c r="Y303" s="206"/>
      <c r="Z303" s="206"/>
      <c r="AA303" s="206"/>
      <c r="AB303" s="206"/>
      <c r="AC303" s="206"/>
      <c r="AD303" s="206"/>
      <c r="AE303" s="206"/>
      <c r="AF303" s="206"/>
      <c r="AG303" s="206"/>
      <c r="AH303" s="206"/>
      <c r="AI303" s="206"/>
      <c r="AJ303" s="206"/>
      <c r="AK303" s="206"/>
      <c r="AL303" s="206"/>
      <c r="AM303" s="206"/>
    </row>
    <row r="304" spans="1:39" x14ac:dyDescent="0.2">
      <c r="A304" s="732" t="s">
        <v>216</v>
      </c>
      <c r="B304" s="733"/>
      <c r="C304" s="732" t="s">
        <v>46</v>
      </c>
      <c r="D304" s="736"/>
      <c r="E304" s="736"/>
      <c r="F304" s="733"/>
      <c r="G304" s="737" t="s">
        <v>48</v>
      </c>
      <c r="H304" s="736"/>
      <c r="I304" s="736"/>
      <c r="J304" s="733"/>
      <c r="N304" s="207"/>
      <c r="O304" s="207"/>
      <c r="P304" s="207"/>
      <c r="Q304" s="207"/>
      <c r="R304" s="207"/>
      <c r="S304" s="207"/>
      <c r="T304" s="208"/>
      <c r="U304" s="208"/>
      <c r="V304" s="208"/>
      <c r="W304" s="208"/>
      <c r="X304" s="208"/>
      <c r="Y304" s="208"/>
      <c r="Z304" s="208"/>
      <c r="AA304" s="208"/>
      <c r="AB304" s="208"/>
      <c r="AC304" s="208"/>
      <c r="AD304" s="208"/>
      <c r="AE304" s="208"/>
      <c r="AF304" s="208"/>
      <c r="AG304" s="208"/>
      <c r="AH304" s="208"/>
      <c r="AI304" s="208"/>
      <c r="AJ304" s="208"/>
      <c r="AK304" s="208"/>
      <c r="AL304" s="206"/>
      <c r="AM304" s="206"/>
    </row>
    <row r="305" spans="1:39" ht="13.5" thickBot="1" x14ac:dyDescent="0.25">
      <c r="A305" s="734"/>
      <c r="B305" s="735"/>
      <c r="C305" s="738" t="s">
        <v>230</v>
      </c>
      <c r="D305" s="739"/>
      <c r="E305" s="739" t="s">
        <v>231</v>
      </c>
      <c r="F305" s="740"/>
      <c r="G305" s="741" t="s">
        <v>230</v>
      </c>
      <c r="H305" s="739"/>
      <c r="I305" s="739" t="s">
        <v>231</v>
      </c>
      <c r="J305" s="740"/>
      <c r="N305" s="207"/>
      <c r="O305" s="207"/>
      <c r="P305" s="208"/>
      <c r="Q305" s="208"/>
      <c r="R305" s="208"/>
      <c r="S305" s="208"/>
      <c r="T305" s="209"/>
      <c r="U305" s="209"/>
      <c r="V305" s="209"/>
      <c r="W305" s="209"/>
      <c r="X305" s="209"/>
      <c r="Y305" s="209"/>
      <c r="Z305" s="209"/>
      <c r="AA305" s="209"/>
      <c r="AB305" s="209"/>
      <c r="AC305" s="209"/>
      <c r="AD305" s="209"/>
      <c r="AE305" s="209"/>
      <c r="AF305" s="209"/>
      <c r="AG305" s="209"/>
      <c r="AH305" s="209"/>
      <c r="AI305" s="209"/>
      <c r="AJ305" s="209"/>
      <c r="AK305" s="209"/>
      <c r="AL305" s="206"/>
      <c r="AM305" s="206"/>
    </row>
    <row r="306" spans="1:39" ht="16.5" thickTop="1" x14ac:dyDescent="0.3">
      <c r="A306" s="729" t="s">
        <v>333</v>
      </c>
      <c r="B306" s="730"/>
      <c r="C306" s="210" t="s">
        <v>334</v>
      </c>
      <c r="D306" s="211" t="e">
        <f t="shared" ref="D306:D311" si="2">E132</f>
        <v>#REF!</v>
      </c>
      <c r="E306" s="212" t="s">
        <v>335</v>
      </c>
      <c r="F306" s="213" t="e">
        <f t="shared" ref="F306:F311" si="3">F132</f>
        <v>#REF!</v>
      </c>
      <c r="G306" s="214" t="s">
        <v>334</v>
      </c>
      <c r="H306" s="211" t="e">
        <f>G132</f>
        <v>#REF!</v>
      </c>
      <c r="I306" s="212" t="s">
        <v>335</v>
      </c>
      <c r="J306" s="213" t="e">
        <f>H132</f>
        <v>#REF!</v>
      </c>
      <c r="N306" s="208"/>
      <c r="O306" s="208"/>
      <c r="P306" s="215"/>
      <c r="Q306" s="216"/>
      <c r="R306" s="215"/>
      <c r="S306" s="217"/>
      <c r="T306" s="208"/>
      <c r="U306" s="218"/>
      <c r="V306" s="218"/>
      <c r="W306" s="208"/>
      <c r="X306" s="218"/>
      <c r="Y306" s="218"/>
      <c r="Z306" s="208"/>
      <c r="AA306" s="218"/>
      <c r="AB306" s="218"/>
      <c r="AC306" s="208"/>
      <c r="AD306" s="218"/>
      <c r="AE306" s="218"/>
      <c r="AF306" s="208"/>
      <c r="AG306" s="218"/>
      <c r="AH306" s="218"/>
      <c r="AI306" s="208"/>
      <c r="AJ306" s="218"/>
      <c r="AK306" s="218"/>
      <c r="AL306" s="206"/>
      <c r="AM306" s="206"/>
    </row>
    <row r="307" spans="1:39" ht="15.75" x14ac:dyDescent="0.3">
      <c r="A307" s="721" t="s">
        <v>336</v>
      </c>
      <c r="B307" s="722"/>
      <c r="C307" s="219" t="s">
        <v>337</v>
      </c>
      <c r="D307" s="220" t="e">
        <f t="shared" si="2"/>
        <v>#REF!</v>
      </c>
      <c r="E307" s="221" t="s">
        <v>338</v>
      </c>
      <c r="F307" s="222" t="e">
        <f t="shared" si="3"/>
        <v>#REF!</v>
      </c>
      <c r="G307" s="223" t="s">
        <v>337</v>
      </c>
      <c r="H307" s="211" t="e">
        <f t="shared" ref="H307:H311" si="4">G133</f>
        <v>#REF!</v>
      </c>
      <c r="I307" s="221" t="s">
        <v>338</v>
      </c>
      <c r="J307" s="213" t="e">
        <f t="shared" ref="J307:J311" si="5">H133</f>
        <v>#REF!</v>
      </c>
      <c r="N307" s="208"/>
      <c r="O307" s="208"/>
      <c r="P307" s="215"/>
      <c r="Q307" s="216"/>
      <c r="R307" s="215"/>
      <c r="S307" s="217"/>
      <c r="T307" s="208"/>
      <c r="U307" s="218"/>
      <c r="V307" s="218"/>
      <c r="W307" s="208"/>
      <c r="X307" s="218"/>
      <c r="Y307" s="218"/>
      <c r="Z307" s="208"/>
      <c r="AA307" s="218"/>
      <c r="AB307" s="218"/>
      <c r="AC307" s="208"/>
      <c r="AD307" s="218"/>
      <c r="AE307" s="218"/>
      <c r="AF307" s="208"/>
      <c r="AG307" s="218"/>
      <c r="AH307" s="218"/>
      <c r="AI307" s="208"/>
      <c r="AJ307" s="218"/>
      <c r="AK307" s="218"/>
      <c r="AL307" s="206"/>
      <c r="AM307" s="206"/>
    </row>
    <row r="308" spans="1:39" ht="15.75" x14ac:dyDescent="0.3">
      <c r="A308" s="721" t="s">
        <v>339</v>
      </c>
      <c r="B308" s="722"/>
      <c r="C308" s="219" t="s">
        <v>340</v>
      </c>
      <c r="D308" s="220">
        <f t="shared" si="2"/>
        <v>895.80937500000005</v>
      </c>
      <c r="E308" s="221" t="s">
        <v>341</v>
      </c>
      <c r="F308" s="222">
        <f t="shared" si="3"/>
        <v>2911.3804687500001</v>
      </c>
      <c r="G308" s="223" t="s">
        <v>340</v>
      </c>
      <c r="H308" s="211">
        <f t="shared" si="4"/>
        <v>895.80937500000005</v>
      </c>
      <c r="I308" s="221" t="s">
        <v>341</v>
      </c>
      <c r="J308" s="213">
        <f t="shared" si="5"/>
        <v>2911.3804687500001</v>
      </c>
      <c r="N308" s="208"/>
      <c r="O308" s="208"/>
      <c r="P308" s="215"/>
      <c r="Q308" s="216"/>
      <c r="R308" s="215"/>
      <c r="S308" s="217"/>
      <c r="T308" s="208"/>
      <c r="U308" s="218"/>
      <c r="V308" s="218"/>
      <c r="W308" s="208"/>
      <c r="X308" s="218"/>
      <c r="Y308" s="218"/>
      <c r="Z308" s="208"/>
      <c r="AA308" s="218"/>
      <c r="AB308" s="218"/>
      <c r="AC308" s="208"/>
      <c r="AD308" s="218"/>
      <c r="AE308" s="218"/>
      <c r="AF308" s="208"/>
      <c r="AG308" s="218"/>
      <c r="AH308" s="218"/>
      <c r="AI308" s="208"/>
      <c r="AJ308" s="218"/>
      <c r="AK308" s="218"/>
      <c r="AL308" s="206"/>
      <c r="AM308" s="206"/>
    </row>
    <row r="309" spans="1:39" ht="15.75" x14ac:dyDescent="0.3">
      <c r="A309" s="721" t="s">
        <v>342</v>
      </c>
      <c r="B309" s="722"/>
      <c r="C309" s="219" t="s">
        <v>343</v>
      </c>
      <c r="D309" s="220">
        <f t="shared" si="2"/>
        <v>164.4</v>
      </c>
      <c r="E309" s="221" t="s">
        <v>344</v>
      </c>
      <c r="F309" s="222">
        <f t="shared" si="3"/>
        <v>534.30000000000007</v>
      </c>
      <c r="G309" s="223" t="s">
        <v>343</v>
      </c>
      <c r="H309" s="211">
        <f t="shared" si="4"/>
        <v>164.4</v>
      </c>
      <c r="I309" s="221" t="s">
        <v>344</v>
      </c>
      <c r="J309" s="213">
        <f t="shared" si="5"/>
        <v>534.30000000000007</v>
      </c>
      <c r="N309" s="208"/>
      <c r="O309" s="208"/>
      <c r="P309" s="215"/>
      <c r="Q309" s="216"/>
      <c r="R309" s="215"/>
      <c r="S309" s="217"/>
      <c r="T309" s="208"/>
      <c r="U309" s="218"/>
      <c r="V309" s="218"/>
      <c r="W309" s="208"/>
      <c r="X309" s="218"/>
      <c r="Y309" s="218"/>
      <c r="Z309" s="208"/>
      <c r="AA309" s="218"/>
      <c r="AB309" s="218"/>
      <c r="AC309" s="208"/>
      <c r="AD309" s="218"/>
      <c r="AE309" s="218"/>
      <c r="AF309" s="208"/>
      <c r="AG309" s="218"/>
      <c r="AH309" s="218"/>
      <c r="AI309" s="208"/>
      <c r="AJ309" s="218"/>
      <c r="AK309" s="218"/>
      <c r="AL309" s="206"/>
      <c r="AM309" s="206"/>
    </row>
    <row r="310" spans="1:39" ht="15.75" x14ac:dyDescent="0.3">
      <c r="A310" s="721" t="s">
        <v>226</v>
      </c>
      <c r="B310" s="722"/>
      <c r="C310" s="219" t="s">
        <v>345</v>
      </c>
      <c r="D310" s="220">
        <f t="shared" si="2"/>
        <v>302.25</v>
      </c>
      <c r="E310" s="221" t="s">
        <v>346</v>
      </c>
      <c r="F310" s="222">
        <f t="shared" si="3"/>
        <v>982.3125</v>
      </c>
      <c r="G310" s="223" t="s">
        <v>345</v>
      </c>
      <c r="H310" s="211">
        <f t="shared" si="4"/>
        <v>302.25</v>
      </c>
      <c r="I310" s="221" t="s">
        <v>346</v>
      </c>
      <c r="J310" s="213">
        <f t="shared" si="5"/>
        <v>982.3125</v>
      </c>
      <c r="N310" s="208"/>
      <c r="O310" s="208"/>
      <c r="P310" s="215"/>
      <c r="Q310" s="216"/>
      <c r="R310" s="215"/>
      <c r="S310" s="217"/>
      <c r="T310" s="208"/>
      <c r="U310" s="218"/>
      <c r="V310" s="218"/>
      <c r="W310" s="208"/>
      <c r="X310" s="218"/>
      <c r="Y310" s="218"/>
      <c r="Z310" s="208"/>
      <c r="AA310" s="218"/>
      <c r="AB310" s="218"/>
      <c r="AC310" s="208"/>
      <c r="AD310" s="218"/>
      <c r="AE310" s="218"/>
      <c r="AF310" s="208"/>
      <c r="AG310" s="218"/>
      <c r="AH310" s="218"/>
      <c r="AI310" s="208"/>
      <c r="AJ310" s="218"/>
      <c r="AK310" s="218"/>
      <c r="AL310" s="206"/>
      <c r="AM310" s="206"/>
    </row>
    <row r="311" spans="1:39" ht="15.75" x14ac:dyDescent="0.3">
      <c r="A311" s="721" t="s">
        <v>347</v>
      </c>
      <c r="B311" s="722"/>
      <c r="C311" s="219" t="s">
        <v>345</v>
      </c>
      <c r="D311" s="220">
        <f t="shared" si="2"/>
        <v>31.2</v>
      </c>
      <c r="E311" s="221" t="s">
        <v>346</v>
      </c>
      <c r="F311" s="222">
        <f t="shared" si="3"/>
        <v>101.39999999999999</v>
      </c>
      <c r="G311" s="223" t="s">
        <v>345</v>
      </c>
      <c r="H311" s="211">
        <f t="shared" si="4"/>
        <v>31.2</v>
      </c>
      <c r="I311" s="221" t="s">
        <v>346</v>
      </c>
      <c r="J311" s="213">
        <f t="shared" si="5"/>
        <v>101.39999999999999</v>
      </c>
      <c r="N311" s="208"/>
      <c r="O311" s="208"/>
      <c r="P311" s="215"/>
      <c r="Q311" s="216"/>
      <c r="R311" s="215"/>
      <c r="S311" s="217"/>
      <c r="T311" s="208"/>
      <c r="U311" s="218"/>
      <c r="V311" s="218"/>
      <c r="W311" s="208"/>
      <c r="X311" s="218"/>
      <c r="Y311" s="218"/>
      <c r="Z311" s="208"/>
      <c r="AA311" s="218"/>
      <c r="AB311" s="218"/>
      <c r="AC311" s="208"/>
      <c r="AD311" s="218"/>
      <c r="AE311" s="218"/>
      <c r="AF311" s="208"/>
      <c r="AG311" s="218"/>
      <c r="AH311" s="218"/>
      <c r="AI311" s="208"/>
      <c r="AJ311" s="218"/>
      <c r="AK311" s="218"/>
      <c r="AL311" s="206"/>
      <c r="AM311" s="206"/>
    </row>
    <row r="312" spans="1:39" ht="15.75" x14ac:dyDescent="0.3">
      <c r="A312" s="721" t="s">
        <v>348</v>
      </c>
      <c r="B312" s="722"/>
      <c r="C312" s="224"/>
      <c r="D312" s="225"/>
      <c r="E312" s="221" t="s">
        <v>349</v>
      </c>
      <c r="F312" s="222" t="e">
        <f>-H258</f>
        <v>#REF!</v>
      </c>
      <c r="G312" s="226"/>
      <c r="H312" s="225"/>
      <c r="I312" s="221" t="s">
        <v>349</v>
      </c>
      <c r="J312" s="222" t="e">
        <f>-J258</f>
        <v>#REF!</v>
      </c>
      <c r="N312" s="208"/>
      <c r="O312" s="208"/>
      <c r="P312" s="215"/>
      <c r="Q312" s="206"/>
      <c r="R312" s="215"/>
      <c r="S312" s="217"/>
      <c r="T312" s="208"/>
      <c r="U312" s="218"/>
      <c r="V312" s="218"/>
      <c r="W312" s="208"/>
      <c r="X312" s="218"/>
      <c r="Y312" s="218"/>
      <c r="Z312" s="208"/>
      <c r="AA312" s="218"/>
      <c r="AB312" s="218"/>
      <c r="AC312" s="208"/>
      <c r="AD312" s="218"/>
      <c r="AE312" s="218"/>
      <c r="AF312" s="208"/>
      <c r="AG312" s="218"/>
      <c r="AH312" s="218"/>
      <c r="AI312" s="208"/>
      <c r="AJ312" s="218"/>
      <c r="AK312" s="218"/>
      <c r="AL312" s="206"/>
      <c r="AM312" s="206"/>
    </row>
    <row r="313" spans="1:39" ht="15.75" x14ac:dyDescent="0.3">
      <c r="A313" s="721" t="s">
        <v>350</v>
      </c>
      <c r="B313" s="722"/>
      <c r="C313" s="227"/>
      <c r="D313" s="225"/>
      <c r="E313" s="221" t="s">
        <v>351</v>
      </c>
      <c r="F313" s="222" t="e">
        <f>-H259</f>
        <v>#REF!</v>
      </c>
      <c r="G313" s="226"/>
      <c r="H313" s="225"/>
      <c r="I313" s="221" t="s">
        <v>351</v>
      </c>
      <c r="J313" s="222" t="e">
        <f>-J259</f>
        <v>#REF!</v>
      </c>
      <c r="N313" s="208"/>
      <c r="O313" s="208"/>
      <c r="P313" s="206"/>
      <c r="Q313" s="206"/>
      <c r="R313" s="215"/>
      <c r="S313" s="217"/>
      <c r="T313" s="208"/>
      <c r="U313" s="218"/>
      <c r="V313" s="218"/>
      <c r="W313" s="208"/>
      <c r="X313" s="218"/>
      <c r="Y313" s="218"/>
      <c r="Z313" s="208"/>
      <c r="AA313" s="218"/>
      <c r="AB313" s="218"/>
      <c r="AC313" s="208"/>
      <c r="AD313" s="218"/>
      <c r="AE313" s="218"/>
      <c r="AF313" s="208"/>
      <c r="AG313" s="218"/>
      <c r="AH313" s="218"/>
      <c r="AI313" s="208"/>
      <c r="AJ313" s="218"/>
      <c r="AK313" s="218"/>
      <c r="AL313" s="206"/>
      <c r="AM313" s="206"/>
    </row>
    <row r="314" spans="1:39" ht="15.75" x14ac:dyDescent="0.3">
      <c r="A314" s="723" t="s">
        <v>352</v>
      </c>
      <c r="B314" s="724"/>
      <c r="C314" s="227"/>
      <c r="D314" s="225"/>
      <c r="E314" s="221" t="s">
        <v>353</v>
      </c>
      <c r="F314" s="222">
        <f>H260+H261</f>
        <v>649.42585542051029</v>
      </c>
      <c r="G314" s="226"/>
      <c r="H314" s="225"/>
      <c r="I314" s="221" t="s">
        <v>353</v>
      </c>
      <c r="J314" s="222">
        <f>J260+J261</f>
        <v>649.42585542051029</v>
      </c>
      <c r="N314" s="209"/>
      <c r="O314" s="209"/>
      <c r="P314" s="206"/>
      <c r="Q314" s="206"/>
      <c r="R314" s="215"/>
      <c r="S314" s="217"/>
      <c r="T314" s="208"/>
      <c r="U314" s="218"/>
      <c r="V314" s="218"/>
      <c r="W314" s="208"/>
      <c r="X314" s="218"/>
      <c r="Y314" s="218"/>
      <c r="Z314" s="208"/>
      <c r="AA314" s="218"/>
      <c r="AB314" s="218"/>
      <c r="AC314" s="208"/>
      <c r="AD314" s="218"/>
      <c r="AE314" s="218"/>
      <c r="AF314" s="208"/>
      <c r="AG314" s="218"/>
      <c r="AH314" s="218"/>
      <c r="AI314" s="208"/>
      <c r="AJ314" s="218"/>
      <c r="AK314" s="218"/>
      <c r="AL314" s="206"/>
      <c r="AM314" s="206"/>
    </row>
    <row r="315" spans="1:39" ht="15.75" x14ac:dyDescent="0.3">
      <c r="A315" s="723"/>
      <c r="B315" s="724"/>
      <c r="C315" s="227"/>
      <c r="D315" s="225"/>
      <c r="E315" s="221" t="s">
        <v>354</v>
      </c>
      <c r="F315" s="222">
        <f>-H260-H261</f>
        <v>-649.42585542051029</v>
      </c>
      <c r="G315" s="226"/>
      <c r="H315" s="225"/>
      <c r="I315" s="221" t="s">
        <v>354</v>
      </c>
      <c r="J315" s="222">
        <f>-J260-J261</f>
        <v>-649.42585542051029</v>
      </c>
      <c r="N315" s="209"/>
      <c r="O315" s="209"/>
      <c r="P315" s="206"/>
      <c r="Q315" s="206"/>
      <c r="R315" s="215"/>
      <c r="S315" s="217"/>
      <c r="T315" s="208"/>
      <c r="U315" s="218"/>
      <c r="V315" s="218"/>
      <c r="W315" s="208"/>
      <c r="X315" s="218"/>
      <c r="Y315" s="218"/>
      <c r="Z315" s="208"/>
      <c r="AA315" s="218"/>
      <c r="AB315" s="218"/>
      <c r="AC315" s="208"/>
      <c r="AD315" s="218"/>
      <c r="AE315" s="218"/>
      <c r="AF315" s="208"/>
      <c r="AG315" s="218"/>
      <c r="AH315" s="218"/>
      <c r="AI315" s="208"/>
      <c r="AJ315" s="218"/>
      <c r="AK315" s="218"/>
      <c r="AL315" s="206"/>
      <c r="AM315" s="206"/>
    </row>
    <row r="316" spans="1:39" ht="15.75" x14ac:dyDescent="0.3">
      <c r="A316" s="723" t="s">
        <v>355</v>
      </c>
      <c r="B316" s="724"/>
      <c r="C316" s="227"/>
      <c r="D316" s="225"/>
      <c r="E316" s="221" t="s">
        <v>356</v>
      </c>
      <c r="F316" s="222">
        <f>H262</f>
        <v>179.16938596255974</v>
      </c>
      <c r="G316" s="226"/>
      <c r="H316" s="225"/>
      <c r="I316" s="221" t="s">
        <v>356</v>
      </c>
      <c r="J316" s="222">
        <f>J262</f>
        <v>179.16938596255974</v>
      </c>
      <c r="N316" s="209"/>
      <c r="O316" s="209"/>
      <c r="P316" s="206"/>
      <c r="Q316" s="206"/>
      <c r="R316" s="215"/>
      <c r="S316" s="217"/>
      <c r="T316" s="208"/>
      <c r="U316" s="218"/>
      <c r="V316" s="218"/>
      <c r="W316" s="208"/>
      <c r="X316" s="218"/>
      <c r="Y316" s="218"/>
      <c r="Z316" s="208"/>
      <c r="AA316" s="218"/>
      <c r="AB316" s="218"/>
      <c r="AC316" s="208"/>
      <c r="AD316" s="218"/>
      <c r="AE316" s="218"/>
      <c r="AF316" s="208"/>
      <c r="AG316" s="218"/>
      <c r="AH316" s="218"/>
      <c r="AI316" s="208"/>
      <c r="AJ316" s="218"/>
      <c r="AK316" s="218"/>
      <c r="AL316" s="206"/>
      <c r="AM316" s="206"/>
    </row>
    <row r="317" spans="1:39" ht="16.5" thickBot="1" x14ac:dyDescent="0.35">
      <c r="A317" s="725"/>
      <c r="B317" s="726"/>
      <c r="C317" s="228"/>
      <c r="D317" s="229"/>
      <c r="E317" s="230" t="s">
        <v>357</v>
      </c>
      <c r="F317" s="231">
        <f>-H262</f>
        <v>-179.16938596255974</v>
      </c>
      <c r="G317" s="232"/>
      <c r="H317" s="229"/>
      <c r="I317" s="230" t="s">
        <v>357</v>
      </c>
      <c r="J317" s="231">
        <f>-J262</f>
        <v>-179.16938596255974</v>
      </c>
      <c r="N317" s="209"/>
      <c r="O317" s="209"/>
      <c r="P317" s="206"/>
      <c r="Q317" s="206"/>
      <c r="R317" s="215"/>
      <c r="S317" s="217"/>
      <c r="T317" s="208"/>
      <c r="U317" s="218"/>
      <c r="V317" s="218"/>
      <c r="W317" s="208"/>
      <c r="X317" s="218"/>
      <c r="Y317" s="218"/>
      <c r="Z317" s="208"/>
      <c r="AA317" s="218"/>
      <c r="AB317" s="218"/>
      <c r="AC317" s="208"/>
      <c r="AD317" s="218"/>
      <c r="AE317" s="218"/>
      <c r="AF317" s="208"/>
      <c r="AG317" s="218"/>
      <c r="AH317" s="218"/>
      <c r="AI317" s="208"/>
      <c r="AJ317" s="218"/>
      <c r="AK317" s="218"/>
      <c r="AL317" s="206"/>
      <c r="AM317" s="206"/>
    </row>
    <row r="318" spans="1:39" x14ac:dyDescent="0.2">
      <c r="N318" s="206"/>
      <c r="O318" s="206"/>
      <c r="P318" s="206"/>
      <c r="Q318" s="206"/>
      <c r="R318" s="206"/>
      <c r="S318" s="208"/>
      <c r="T318" s="208"/>
      <c r="U318" s="218"/>
      <c r="V318" s="218"/>
      <c r="W318" s="208"/>
      <c r="X318" s="218"/>
      <c r="Y318" s="218"/>
      <c r="Z318" s="208"/>
      <c r="AA318" s="218"/>
      <c r="AB318" s="218"/>
      <c r="AC318" s="208"/>
      <c r="AD318" s="218"/>
      <c r="AE318" s="218"/>
      <c r="AF318" s="208"/>
      <c r="AG318" s="218"/>
      <c r="AH318" s="218"/>
      <c r="AI318" s="208"/>
      <c r="AJ318" s="218"/>
      <c r="AK318" s="218"/>
      <c r="AL318" s="206"/>
      <c r="AM318" s="206"/>
    </row>
    <row r="319" spans="1:39" x14ac:dyDescent="0.2">
      <c r="A319" s="112" t="s">
        <v>358</v>
      </c>
      <c r="N319" s="206"/>
      <c r="O319" s="206"/>
      <c r="P319" s="206"/>
      <c r="Q319" s="206"/>
      <c r="R319" s="215"/>
      <c r="S319" s="215"/>
      <c r="T319" s="233"/>
      <c r="U319" s="233"/>
      <c r="V319" s="233"/>
      <c r="W319" s="233"/>
      <c r="X319" s="233"/>
      <c r="Y319" s="233"/>
      <c r="Z319" s="233"/>
      <c r="AA319" s="233"/>
      <c r="AB319" s="233"/>
      <c r="AC319" s="233"/>
      <c r="AD319" s="233"/>
      <c r="AE319" s="233"/>
      <c r="AF319" s="233"/>
      <c r="AG319" s="233"/>
      <c r="AH319" s="233"/>
      <c r="AI319" s="233"/>
      <c r="AJ319" s="233"/>
      <c r="AK319" s="233"/>
      <c r="AL319" s="206"/>
      <c r="AM319" s="206"/>
    </row>
    <row r="320" spans="1:39" x14ac:dyDescent="0.2">
      <c r="N320" s="206"/>
      <c r="O320" s="206"/>
      <c r="P320" s="206"/>
      <c r="Q320" s="206"/>
      <c r="R320" s="215"/>
      <c r="S320" s="215"/>
      <c r="T320" s="218"/>
      <c r="U320" s="218"/>
      <c r="V320" s="218"/>
      <c r="W320" s="218"/>
      <c r="X320" s="218"/>
      <c r="Y320" s="218"/>
      <c r="Z320" s="218"/>
      <c r="AA320" s="218"/>
      <c r="AB320" s="218"/>
      <c r="AC320" s="218"/>
      <c r="AD320" s="218"/>
      <c r="AE320" s="218"/>
      <c r="AF320" s="218"/>
      <c r="AG320" s="218"/>
      <c r="AH320" s="218"/>
      <c r="AI320" s="218"/>
      <c r="AJ320" s="218"/>
      <c r="AK320" s="218"/>
      <c r="AL320" s="206"/>
      <c r="AM320" s="206"/>
    </row>
    <row r="321" spans="1:39" ht="15.75" x14ac:dyDescent="0.3">
      <c r="A321" s="112" t="s">
        <v>359</v>
      </c>
      <c r="N321" s="206"/>
      <c r="O321" s="206"/>
      <c r="P321" s="206"/>
      <c r="Q321" s="206"/>
      <c r="R321" s="215"/>
      <c r="S321" s="215"/>
      <c r="T321" s="218"/>
      <c r="U321" s="218"/>
      <c r="V321" s="218"/>
      <c r="W321" s="218"/>
      <c r="X321" s="218"/>
      <c r="Y321" s="218"/>
      <c r="Z321" s="218"/>
      <c r="AA321" s="218"/>
      <c r="AB321" s="218"/>
      <c r="AC321" s="218"/>
      <c r="AD321" s="218"/>
      <c r="AE321" s="218"/>
      <c r="AF321" s="218"/>
      <c r="AG321" s="218"/>
      <c r="AH321" s="218"/>
      <c r="AI321" s="218"/>
      <c r="AJ321" s="218"/>
      <c r="AK321" s="218"/>
      <c r="AL321" s="206"/>
      <c r="AM321" s="206"/>
    </row>
    <row r="322" spans="1:39" x14ac:dyDescent="0.2">
      <c r="B322" s="114" t="s">
        <v>360</v>
      </c>
      <c r="C322" s="126">
        <v>60001</v>
      </c>
      <c r="N322" s="206"/>
      <c r="O322" s="206"/>
      <c r="P322" s="206"/>
      <c r="Q322" s="206"/>
      <c r="R322" s="215"/>
      <c r="S322" s="215"/>
      <c r="T322" s="218"/>
      <c r="U322" s="218"/>
      <c r="V322" s="218"/>
      <c r="W322" s="218"/>
      <c r="X322" s="218"/>
      <c r="Y322" s="218"/>
      <c r="Z322" s="218"/>
      <c r="AA322" s="218"/>
      <c r="AB322" s="218"/>
      <c r="AC322" s="218"/>
      <c r="AD322" s="218"/>
      <c r="AE322" s="218"/>
      <c r="AF322" s="218"/>
      <c r="AG322" s="218"/>
      <c r="AH322" s="218"/>
      <c r="AI322" s="218"/>
      <c r="AJ322" s="218"/>
      <c r="AK322" s="218"/>
      <c r="AL322" s="206"/>
      <c r="AM322" s="206"/>
    </row>
    <row r="323" spans="1:39" ht="15.75" x14ac:dyDescent="0.3">
      <c r="B323" s="114" t="s">
        <v>361</v>
      </c>
      <c r="C323" s="234">
        <f>IF(C322&gt;60000,1.05,IF(C322&lt;400,0.95,1))</f>
        <v>1.05</v>
      </c>
      <c r="E323" s="112" t="s">
        <v>362</v>
      </c>
      <c r="N323" s="206"/>
      <c r="O323" s="206"/>
      <c r="P323" s="206"/>
      <c r="Q323" s="206"/>
      <c r="R323" s="215"/>
      <c r="S323" s="215"/>
      <c r="T323" s="218"/>
      <c r="U323" s="218"/>
      <c r="V323" s="218"/>
      <c r="W323" s="218"/>
      <c r="X323" s="218"/>
      <c r="Y323" s="218"/>
      <c r="Z323" s="218"/>
      <c r="AA323" s="218"/>
      <c r="AB323" s="218"/>
      <c r="AC323" s="218"/>
      <c r="AD323" s="218"/>
      <c r="AE323" s="218"/>
      <c r="AF323" s="218"/>
      <c r="AG323" s="218"/>
      <c r="AH323" s="218"/>
      <c r="AI323" s="218"/>
      <c r="AJ323" s="218"/>
      <c r="AK323" s="218"/>
      <c r="AL323" s="206"/>
      <c r="AM323" s="206"/>
    </row>
    <row r="324" spans="1:39" x14ac:dyDescent="0.2">
      <c r="N324" s="206"/>
      <c r="O324" s="206"/>
      <c r="P324" s="206"/>
      <c r="Q324" s="206"/>
      <c r="R324" s="215"/>
      <c r="S324" s="215"/>
      <c r="T324" s="218"/>
      <c r="U324" s="218"/>
      <c r="V324" s="218"/>
      <c r="W324" s="218"/>
      <c r="X324" s="218"/>
      <c r="Y324" s="218"/>
      <c r="Z324" s="218"/>
      <c r="AA324" s="218"/>
      <c r="AB324" s="218"/>
      <c r="AC324" s="218"/>
      <c r="AD324" s="218"/>
      <c r="AE324" s="218"/>
      <c r="AF324" s="218"/>
      <c r="AG324" s="218"/>
      <c r="AH324" s="218"/>
      <c r="AI324" s="218"/>
      <c r="AJ324" s="218"/>
      <c r="AK324" s="218"/>
      <c r="AL324" s="206"/>
      <c r="AM324" s="206"/>
    </row>
    <row r="325" spans="1:39" x14ac:dyDescent="0.2">
      <c r="A325" s="112" t="s">
        <v>363</v>
      </c>
      <c r="N325" s="206"/>
      <c r="O325" s="206"/>
      <c r="P325" s="206"/>
      <c r="Q325" s="206"/>
      <c r="R325" s="215"/>
      <c r="S325" s="215"/>
      <c r="T325" s="218"/>
      <c r="U325" s="218"/>
      <c r="V325" s="218"/>
      <c r="W325" s="218"/>
      <c r="X325" s="218"/>
      <c r="Y325" s="218"/>
      <c r="Z325" s="218"/>
      <c r="AA325" s="218"/>
      <c r="AB325" s="218"/>
      <c r="AC325" s="218"/>
      <c r="AD325" s="218"/>
      <c r="AE325" s="218"/>
      <c r="AF325" s="218"/>
      <c r="AG325" s="218"/>
      <c r="AH325" s="218"/>
      <c r="AI325" s="218"/>
      <c r="AJ325" s="218"/>
      <c r="AK325" s="218"/>
      <c r="AL325" s="206"/>
      <c r="AM325" s="206"/>
    </row>
    <row r="326" spans="1:39" x14ac:dyDescent="0.2">
      <c r="K326" s="112" t="s">
        <v>364</v>
      </c>
      <c r="N326" s="206"/>
      <c r="O326" s="206"/>
      <c r="P326" s="206"/>
      <c r="Q326" s="206"/>
      <c r="R326" s="215"/>
      <c r="S326" s="215"/>
      <c r="T326" s="218"/>
      <c r="U326" s="218"/>
      <c r="V326" s="218"/>
      <c r="W326" s="218"/>
      <c r="X326" s="218"/>
      <c r="Y326" s="218"/>
      <c r="Z326" s="218"/>
      <c r="AA326" s="218"/>
      <c r="AB326" s="218"/>
      <c r="AC326" s="218"/>
      <c r="AD326" s="218"/>
      <c r="AE326" s="218"/>
      <c r="AF326" s="218"/>
      <c r="AG326" s="218"/>
      <c r="AH326" s="218"/>
      <c r="AI326" s="218"/>
      <c r="AJ326" s="218"/>
      <c r="AK326" s="218"/>
      <c r="AL326" s="206"/>
      <c r="AM326" s="206"/>
    </row>
    <row r="327" spans="1:39" ht="15.75" x14ac:dyDescent="0.3">
      <c r="A327" s="114" t="s">
        <v>365</v>
      </c>
      <c r="B327" s="112" t="s">
        <v>366</v>
      </c>
      <c r="K327" s="112" t="s">
        <v>367</v>
      </c>
      <c r="N327" s="206"/>
      <c r="O327" s="206"/>
      <c r="P327" s="206"/>
      <c r="Q327" s="206"/>
      <c r="R327" s="206"/>
      <c r="S327" s="206"/>
      <c r="T327" s="206"/>
      <c r="U327" s="206"/>
      <c r="V327" s="206"/>
      <c r="W327" s="206"/>
      <c r="X327" s="206"/>
      <c r="Y327" s="206"/>
      <c r="Z327" s="206"/>
      <c r="AA327" s="206"/>
      <c r="AB327" s="206"/>
      <c r="AC327" s="206"/>
      <c r="AD327" s="206"/>
      <c r="AE327" s="206"/>
      <c r="AF327" s="206"/>
      <c r="AG327" s="206"/>
      <c r="AH327" s="206"/>
      <c r="AI327" s="206"/>
      <c r="AJ327" s="206"/>
      <c r="AK327" s="206"/>
      <c r="AL327" s="206"/>
      <c r="AM327" s="206"/>
    </row>
    <row r="328" spans="1:39" ht="15.75" x14ac:dyDescent="0.3">
      <c r="A328" s="114" t="s">
        <v>368</v>
      </c>
      <c r="B328" s="112" t="s">
        <v>369</v>
      </c>
      <c r="K328" s="112" t="s">
        <v>367</v>
      </c>
      <c r="N328" s="206"/>
      <c r="O328" s="206"/>
      <c r="P328" s="206"/>
      <c r="Q328" s="206"/>
      <c r="R328" s="206"/>
      <c r="S328" s="206"/>
      <c r="T328" s="206"/>
      <c r="U328" s="206"/>
      <c r="V328" s="206"/>
      <c r="W328" s="206"/>
      <c r="X328" s="206"/>
      <c r="Y328" s="206"/>
      <c r="Z328" s="206"/>
      <c r="AA328" s="206"/>
      <c r="AB328" s="206"/>
      <c r="AC328" s="206"/>
      <c r="AD328" s="206"/>
      <c r="AE328" s="206"/>
      <c r="AF328" s="206"/>
      <c r="AG328" s="206"/>
      <c r="AH328" s="206"/>
      <c r="AI328" s="206"/>
      <c r="AJ328" s="206"/>
      <c r="AK328" s="206"/>
      <c r="AL328" s="206"/>
      <c r="AM328" s="206"/>
    </row>
    <row r="329" spans="1:39" ht="15.75" x14ac:dyDescent="0.3">
      <c r="A329" s="114" t="s">
        <v>370</v>
      </c>
      <c r="B329" s="112" t="s">
        <v>371</v>
      </c>
      <c r="K329" s="112" t="s">
        <v>372</v>
      </c>
      <c r="N329" s="206"/>
      <c r="O329" s="206"/>
      <c r="P329" s="206"/>
      <c r="Q329" s="206"/>
      <c r="R329" s="206"/>
      <c r="S329" s="206"/>
      <c r="T329" s="206"/>
      <c r="U329" s="206"/>
      <c r="V329" s="206"/>
      <c r="W329" s="206"/>
      <c r="X329" s="206"/>
      <c r="Y329" s="206"/>
      <c r="Z329" s="206"/>
      <c r="AA329" s="206"/>
      <c r="AB329" s="206"/>
      <c r="AC329" s="206"/>
      <c r="AD329" s="206"/>
      <c r="AE329" s="206"/>
      <c r="AF329" s="206"/>
      <c r="AG329" s="206"/>
      <c r="AH329" s="206"/>
      <c r="AI329" s="206"/>
      <c r="AJ329" s="206"/>
      <c r="AK329" s="206"/>
      <c r="AL329" s="206"/>
      <c r="AM329" s="206"/>
    </row>
    <row r="330" spans="1:39" ht="15.75" x14ac:dyDescent="0.3">
      <c r="A330" s="114" t="s">
        <v>373</v>
      </c>
      <c r="B330" s="112" t="s">
        <v>374</v>
      </c>
      <c r="K330" s="112" t="s">
        <v>372</v>
      </c>
      <c r="N330" s="206"/>
      <c r="O330" s="206"/>
      <c r="P330" s="206"/>
      <c r="Q330" s="206"/>
      <c r="R330" s="206"/>
      <c r="S330" s="206"/>
      <c r="T330" s="206"/>
      <c r="U330" s="206"/>
      <c r="V330" s="206"/>
      <c r="W330" s="206"/>
      <c r="X330" s="206"/>
      <c r="Y330" s="206"/>
      <c r="Z330" s="206"/>
      <c r="AA330" s="206"/>
      <c r="AB330" s="206"/>
      <c r="AC330" s="206"/>
      <c r="AD330" s="206"/>
      <c r="AE330" s="206"/>
      <c r="AF330" s="206"/>
      <c r="AG330" s="206"/>
      <c r="AH330" s="206"/>
      <c r="AI330" s="206"/>
      <c r="AJ330" s="206"/>
      <c r="AK330" s="206"/>
      <c r="AL330" s="206"/>
      <c r="AM330" s="206"/>
    </row>
    <row r="331" spans="1:39" ht="15.75" x14ac:dyDescent="0.3">
      <c r="A331" s="114" t="s">
        <v>375</v>
      </c>
      <c r="B331" s="112" t="s">
        <v>371</v>
      </c>
      <c r="K331" s="112" t="s">
        <v>376</v>
      </c>
      <c r="N331" s="206"/>
      <c r="O331" s="206"/>
      <c r="P331" s="206"/>
      <c r="Q331" s="206"/>
      <c r="R331" s="206"/>
      <c r="S331" s="206"/>
      <c r="T331" s="206"/>
      <c r="U331" s="206"/>
      <c r="V331" s="206"/>
      <c r="W331" s="206"/>
      <c r="X331" s="206"/>
      <c r="Y331" s="206"/>
      <c r="Z331" s="206"/>
      <c r="AA331" s="206"/>
      <c r="AB331" s="206"/>
      <c r="AC331" s="206"/>
      <c r="AD331" s="206"/>
      <c r="AE331" s="206"/>
      <c r="AF331" s="206"/>
      <c r="AG331" s="206"/>
      <c r="AH331" s="206"/>
      <c r="AI331" s="206"/>
      <c r="AJ331" s="206"/>
      <c r="AK331" s="206"/>
      <c r="AL331" s="206"/>
      <c r="AM331" s="206"/>
    </row>
    <row r="332" spans="1:39" ht="15.75" x14ac:dyDescent="0.3">
      <c r="A332" s="114" t="s">
        <v>377</v>
      </c>
      <c r="B332" s="112" t="s">
        <v>374</v>
      </c>
      <c r="K332" s="112" t="s">
        <v>376</v>
      </c>
      <c r="N332" s="206"/>
      <c r="O332" s="206"/>
      <c r="P332" s="206"/>
      <c r="Q332" s="206"/>
      <c r="R332" s="206"/>
      <c r="S332" s="206"/>
      <c r="T332" s="206"/>
      <c r="U332" s="206"/>
      <c r="V332" s="206"/>
      <c r="W332" s="206"/>
      <c r="X332" s="206"/>
      <c r="Y332" s="206"/>
      <c r="Z332" s="206"/>
      <c r="AA332" s="206"/>
      <c r="AB332" s="206"/>
      <c r="AC332" s="206"/>
      <c r="AD332" s="206"/>
      <c r="AE332" s="206"/>
      <c r="AF332" s="206"/>
      <c r="AG332" s="206"/>
      <c r="AH332" s="206"/>
      <c r="AI332" s="206"/>
      <c r="AJ332" s="206"/>
      <c r="AK332" s="206"/>
      <c r="AL332" s="206"/>
      <c r="AM332" s="206"/>
    </row>
    <row r="333" spans="1:39" ht="15.75" x14ac:dyDescent="0.3">
      <c r="A333" s="114" t="s">
        <v>378</v>
      </c>
      <c r="B333" s="112" t="s">
        <v>379</v>
      </c>
      <c r="K333" s="112" t="s">
        <v>367</v>
      </c>
      <c r="N333" s="206"/>
      <c r="O333" s="206"/>
      <c r="P333" s="206"/>
      <c r="Q333" s="206"/>
      <c r="R333" s="206"/>
      <c r="S333" s="215"/>
      <c r="T333" s="235"/>
      <c r="U333" s="206"/>
      <c r="V333" s="206"/>
      <c r="W333" s="206"/>
      <c r="X333" s="215"/>
      <c r="Y333" s="235"/>
      <c r="Z333" s="206"/>
      <c r="AA333" s="206"/>
      <c r="AB333" s="206"/>
      <c r="AC333" s="206"/>
      <c r="AD333" s="206"/>
      <c r="AE333" s="206"/>
      <c r="AF333" s="206"/>
      <c r="AG333" s="206"/>
      <c r="AH333" s="206"/>
      <c r="AI333" s="206"/>
      <c r="AJ333" s="206"/>
      <c r="AK333" s="206"/>
      <c r="AL333" s="206"/>
      <c r="AM333" s="206"/>
    </row>
    <row r="334" spans="1:39" ht="15.75" x14ac:dyDescent="0.3">
      <c r="A334" s="114" t="s">
        <v>380</v>
      </c>
      <c r="B334" s="112" t="s">
        <v>381</v>
      </c>
      <c r="K334" s="112" t="s">
        <v>367</v>
      </c>
      <c r="N334" s="206"/>
      <c r="O334" s="206"/>
      <c r="P334" s="206"/>
      <c r="Q334" s="206"/>
      <c r="R334" s="206"/>
      <c r="S334" s="215"/>
      <c r="T334" s="235"/>
      <c r="U334" s="206"/>
      <c r="V334" s="206"/>
      <c r="W334" s="206"/>
      <c r="X334" s="215"/>
      <c r="Y334" s="235"/>
      <c r="Z334" s="206"/>
      <c r="AA334" s="206"/>
      <c r="AB334" s="206"/>
      <c r="AC334" s="206"/>
      <c r="AD334" s="206"/>
      <c r="AE334" s="206"/>
      <c r="AF334" s="206"/>
      <c r="AG334" s="206"/>
      <c r="AH334" s="206"/>
      <c r="AI334" s="206"/>
      <c r="AJ334" s="206"/>
      <c r="AK334" s="206"/>
      <c r="AL334" s="206"/>
      <c r="AM334" s="206"/>
    </row>
    <row r="335" spans="1:39" ht="15.75" x14ac:dyDescent="0.3">
      <c r="A335" s="114" t="s">
        <v>382</v>
      </c>
      <c r="B335" s="112" t="s">
        <v>383</v>
      </c>
      <c r="K335" s="112" t="s">
        <v>367</v>
      </c>
      <c r="N335" s="206"/>
      <c r="O335" s="206"/>
      <c r="P335" s="206"/>
      <c r="Q335" s="206"/>
      <c r="R335" s="206"/>
      <c r="S335" s="215"/>
      <c r="T335" s="235"/>
      <c r="U335" s="206"/>
      <c r="V335" s="206"/>
      <c r="W335" s="206"/>
      <c r="X335" s="215"/>
      <c r="Y335" s="235"/>
      <c r="Z335" s="206"/>
      <c r="AA335" s="206"/>
      <c r="AB335" s="206"/>
      <c r="AC335" s="206"/>
      <c r="AD335" s="206"/>
      <c r="AE335" s="206"/>
      <c r="AF335" s="206"/>
      <c r="AG335" s="206"/>
      <c r="AH335" s="206"/>
      <c r="AI335" s="206"/>
      <c r="AJ335" s="206"/>
      <c r="AK335" s="206"/>
      <c r="AL335" s="206"/>
      <c r="AM335" s="206"/>
    </row>
    <row r="336" spans="1:39" ht="15.75" x14ac:dyDescent="0.3">
      <c r="A336" s="114" t="s">
        <v>384</v>
      </c>
      <c r="B336" s="112" t="s">
        <v>385</v>
      </c>
      <c r="K336" s="112" t="s">
        <v>367</v>
      </c>
    </row>
    <row r="337" spans="1:16" ht="15.75" x14ac:dyDescent="0.3">
      <c r="A337" s="114" t="s">
        <v>386</v>
      </c>
      <c r="B337" s="112" t="s">
        <v>387</v>
      </c>
      <c r="K337" s="112" t="s">
        <v>372</v>
      </c>
    </row>
    <row r="338" spans="1:16" ht="15.75" x14ac:dyDescent="0.3">
      <c r="A338" s="114" t="s">
        <v>388</v>
      </c>
      <c r="B338" s="112" t="s">
        <v>389</v>
      </c>
      <c r="K338" s="112" t="s">
        <v>372</v>
      </c>
    </row>
    <row r="339" spans="1:16" ht="15.75" x14ac:dyDescent="0.3">
      <c r="A339" s="114" t="s">
        <v>390</v>
      </c>
      <c r="B339" s="112" t="s">
        <v>387</v>
      </c>
      <c r="K339" s="112" t="s">
        <v>376</v>
      </c>
    </row>
    <row r="340" spans="1:16" ht="15.75" x14ac:dyDescent="0.3">
      <c r="A340" s="114" t="s">
        <v>391</v>
      </c>
      <c r="B340" s="112" t="s">
        <v>389</v>
      </c>
      <c r="K340" s="112" t="s">
        <v>376</v>
      </c>
    </row>
    <row r="342" spans="1:16" ht="15.75" x14ac:dyDescent="0.3">
      <c r="B342" s="114" t="s">
        <v>392</v>
      </c>
      <c r="C342" s="112" t="s">
        <v>393</v>
      </c>
    </row>
    <row r="343" spans="1:16" x14ac:dyDescent="0.2">
      <c r="B343" s="114" t="s">
        <v>394</v>
      </c>
      <c r="C343" s="112" t="s">
        <v>395</v>
      </c>
    </row>
    <row r="344" spans="1:16" ht="15.75" x14ac:dyDescent="0.3">
      <c r="B344" s="114" t="s">
        <v>396</v>
      </c>
      <c r="C344" s="112" t="s">
        <v>397</v>
      </c>
    </row>
    <row r="345" spans="1:16" ht="15.75" x14ac:dyDescent="0.3">
      <c r="B345" s="114" t="s">
        <v>398</v>
      </c>
      <c r="C345" s="112" t="s">
        <v>399</v>
      </c>
      <c r="M345" s="135"/>
    </row>
    <row r="346" spans="1:16" x14ac:dyDescent="0.2">
      <c r="M346" s="135"/>
    </row>
    <row r="347" spans="1:16" ht="15.75" x14ac:dyDescent="0.3">
      <c r="B347" s="183" t="s">
        <v>400</v>
      </c>
      <c r="M347" s="135"/>
    </row>
    <row r="348" spans="1:16" x14ac:dyDescent="0.2">
      <c r="B348" s="183"/>
      <c r="M348" s="135"/>
    </row>
    <row r="349" spans="1:16" ht="13.5" thickBot="1" x14ac:dyDescent="0.25">
      <c r="A349" s="706" t="s">
        <v>401</v>
      </c>
      <c r="B349" s="706"/>
      <c r="C349" s="706"/>
      <c r="D349" s="706"/>
      <c r="E349" s="706"/>
      <c r="F349" s="706"/>
      <c r="G349" s="706"/>
      <c r="M349" s="135"/>
    </row>
    <row r="350" spans="1:16" ht="15.75" x14ac:dyDescent="0.3">
      <c r="A350" s="718" t="s">
        <v>402</v>
      </c>
      <c r="B350" s="715" t="s">
        <v>403</v>
      </c>
      <c r="C350" s="715" t="s">
        <v>404</v>
      </c>
      <c r="D350" s="715" t="s">
        <v>405</v>
      </c>
      <c r="E350" s="715" t="s">
        <v>406</v>
      </c>
      <c r="F350" s="715" t="s">
        <v>407</v>
      </c>
      <c r="G350" s="716"/>
      <c r="M350" s="135"/>
    </row>
    <row r="351" spans="1:16" ht="13.5" thickBot="1" x14ac:dyDescent="0.25">
      <c r="A351" s="727"/>
      <c r="B351" s="728"/>
      <c r="C351" s="728"/>
      <c r="D351" s="728"/>
      <c r="E351" s="728"/>
      <c r="F351" s="236" t="s">
        <v>408</v>
      </c>
      <c r="G351" s="237" t="s">
        <v>409</v>
      </c>
      <c r="M351" s="135"/>
    </row>
    <row r="352" spans="1:16" x14ac:dyDescent="0.2">
      <c r="A352" s="238" t="s">
        <v>410</v>
      </c>
      <c r="B352" s="239" t="e">
        <f>$C$323*((1.25*(D$306+D$308))+(1.5*D$309)+(1.35*D$307)+(1.75*(D$310+D$311)))</f>
        <v>#REF!</v>
      </c>
      <c r="C352" s="240" t="e">
        <f>D352/B352</f>
        <v>#REF!</v>
      </c>
      <c r="D352" s="241" t="e">
        <f>$C$323*((1.25*(F$306+F$308))+(1.5*F$309)+(1.35*F$307)+(1.75*(F$310+F$311))+(0.9*F$312)+(1.2*F$314)+(1.75*F$316))</f>
        <v>#REF!</v>
      </c>
      <c r="E352" s="241" t="e">
        <f>B352*($G$291-C352)</f>
        <v>#REF!</v>
      </c>
      <c r="F352" s="242" t="e">
        <f>($B352/$C$291)+(($E352*$I$289)/$C$293)</f>
        <v>#REF!</v>
      </c>
      <c r="G352" s="243" t="e">
        <f>($B352/$C$291)+(($E352*$I$290)/$C$293)</f>
        <v>#REF!</v>
      </c>
      <c r="M352" s="135"/>
      <c r="N352" s="112">
        <v>1</v>
      </c>
      <c r="O352" s="244" t="s">
        <v>365</v>
      </c>
      <c r="P352" s="245" t="s">
        <v>411</v>
      </c>
    </row>
    <row r="353" spans="1:16" ht="3" customHeight="1" x14ac:dyDescent="0.2">
      <c r="A353" s="246"/>
      <c r="B353" s="247"/>
      <c r="C353" s="248"/>
      <c r="D353" s="249"/>
      <c r="E353" s="249"/>
      <c r="F353" s="250"/>
      <c r="G353" s="251"/>
      <c r="M353" s="135"/>
      <c r="N353" s="112">
        <f>N352+0.5</f>
        <v>1.5</v>
      </c>
      <c r="O353" s="245"/>
      <c r="P353" s="245"/>
    </row>
    <row r="354" spans="1:16" x14ac:dyDescent="0.2">
      <c r="A354" s="238" t="s">
        <v>412</v>
      </c>
      <c r="B354" s="247" t="e">
        <f>$C$323*((1.25*(D$306+D$308))+(1.5*D$309)+(1.35*D$307)+(1.75*(D$310+D$311)))</f>
        <v>#REF!</v>
      </c>
      <c r="C354" s="240" t="e">
        <f>D354/B354</f>
        <v>#REF!</v>
      </c>
      <c r="D354" s="249" t="e">
        <f>$C$323*((1.25*(F$306+F$308))+(1.5*F$309)+(1.35*F$307)+(1.75*(F$310+F$311))+(0.9*F$312)-(1.2*F$314)-(1.75*F$316))</f>
        <v>#REF!</v>
      </c>
      <c r="E354" s="241" t="e">
        <f>B354*($G$291-C354)</f>
        <v>#REF!</v>
      </c>
      <c r="F354" s="242" t="e">
        <f>($B354/$C$291)+(($E354*$I$289)/$C$293)</f>
        <v>#REF!</v>
      </c>
      <c r="G354" s="243" t="e">
        <f>($B354/$C$291)+(($E354*$I$290)/$C$293)</f>
        <v>#REF!</v>
      </c>
      <c r="M354" s="135"/>
      <c r="N354" s="112">
        <f t="shared" ref="N354:N378" si="6">N353+0.5</f>
        <v>2</v>
      </c>
      <c r="O354" s="244" t="s">
        <v>368</v>
      </c>
      <c r="P354" s="245" t="s">
        <v>413</v>
      </c>
    </row>
    <row r="355" spans="1:16" ht="3" customHeight="1" x14ac:dyDescent="0.2">
      <c r="A355" s="246"/>
      <c r="B355" s="247"/>
      <c r="C355" s="248"/>
      <c r="D355" s="249"/>
      <c r="E355" s="249"/>
      <c r="F355" s="250"/>
      <c r="G355" s="251"/>
      <c r="M355" s="135"/>
      <c r="N355" s="112">
        <f t="shared" si="6"/>
        <v>2.5</v>
      </c>
      <c r="O355" s="245"/>
      <c r="P355" s="245"/>
    </row>
    <row r="356" spans="1:16" x14ac:dyDescent="0.2">
      <c r="A356" s="246" t="s">
        <v>414</v>
      </c>
      <c r="B356" s="247" t="e">
        <f>$C$323*((1.25*(D$306+D$308))+(1.5*D$309)+(1.35*D$307)+(1.75*D$310))</f>
        <v>#REF!</v>
      </c>
      <c r="C356" s="248" t="e">
        <f>D356/B356</f>
        <v>#REF!</v>
      </c>
      <c r="D356" s="249" t="e">
        <f>$C$323*((1.25*(F$306+F$308))+(1.5*F$309)+(1.35*F$307)+(1.75*F$310)+(0.9*F$312)+(1.75*F$313)+(1.2*F$314)+(1.75*F$316))</f>
        <v>#REF!</v>
      </c>
      <c r="E356" s="249" t="e">
        <f>B356*($G$291-C356)</f>
        <v>#REF!</v>
      </c>
      <c r="F356" s="250" t="e">
        <f>($B356/$C$291)+(($E356*$I$289)/$C$293)</f>
        <v>#REF!</v>
      </c>
      <c r="G356" s="251" t="e">
        <f>($B356/$C$291)+(($E356*$I$290)/$C$293)</f>
        <v>#REF!</v>
      </c>
      <c r="M356" s="135"/>
      <c r="N356" s="112">
        <f t="shared" si="6"/>
        <v>3</v>
      </c>
      <c r="O356" s="244" t="s">
        <v>370</v>
      </c>
      <c r="P356" s="245" t="s">
        <v>415</v>
      </c>
    </row>
    <row r="357" spans="1:16" ht="3" customHeight="1" x14ac:dyDescent="0.2">
      <c r="A357" s="246"/>
      <c r="B357" s="247"/>
      <c r="C357" s="248"/>
      <c r="D357" s="249"/>
      <c r="E357" s="249"/>
      <c r="F357" s="250"/>
      <c r="G357" s="251"/>
      <c r="M357" s="135"/>
      <c r="N357" s="112">
        <f t="shared" si="6"/>
        <v>3.5</v>
      </c>
      <c r="O357" s="245"/>
      <c r="P357" s="245"/>
    </row>
    <row r="358" spans="1:16" x14ac:dyDescent="0.2">
      <c r="A358" s="246" t="s">
        <v>416</v>
      </c>
      <c r="B358" s="247" t="e">
        <f>$C$323*((1.25*(D$306+D$308))+(1.5*D$309)+(1.35*D$307)+(1.75*D$310))</f>
        <v>#REF!</v>
      </c>
      <c r="C358" s="248" t="e">
        <f>D358/B358</f>
        <v>#REF!</v>
      </c>
      <c r="D358" s="249" t="e">
        <f>$C$323*((1.25*(F$306+F$308))+(1.5*F$309)+(1.35*F$307)+(1.75*F$310)+(0.9*F$312)+(1.75*F$313)-(1.2*F$314)-(1.75*F$316))</f>
        <v>#REF!</v>
      </c>
      <c r="E358" s="249" t="e">
        <f>B358*($G$291-C358)</f>
        <v>#REF!</v>
      </c>
      <c r="F358" s="250" t="e">
        <f>($B358/$C$291)+(($E358*$I$289)/$C$293)</f>
        <v>#REF!</v>
      </c>
      <c r="G358" s="251" t="e">
        <f>($B358/$C$291)+(($E358*$I$290)/$C$293)</f>
        <v>#REF!</v>
      </c>
      <c r="M358" s="135"/>
      <c r="N358" s="112">
        <f t="shared" si="6"/>
        <v>4</v>
      </c>
      <c r="O358" s="244" t="s">
        <v>373</v>
      </c>
      <c r="P358" s="245" t="s">
        <v>417</v>
      </c>
    </row>
    <row r="359" spans="1:16" ht="3" customHeight="1" x14ac:dyDescent="0.2">
      <c r="A359" s="246"/>
      <c r="B359" s="247"/>
      <c r="C359" s="248"/>
      <c r="D359" s="249"/>
      <c r="E359" s="249"/>
      <c r="F359" s="250"/>
      <c r="G359" s="251"/>
      <c r="M359" s="135"/>
      <c r="N359" s="112">
        <f t="shared" si="6"/>
        <v>4.5</v>
      </c>
      <c r="O359" s="245"/>
      <c r="P359" s="245"/>
    </row>
    <row r="360" spans="1:16" x14ac:dyDescent="0.2">
      <c r="A360" s="246" t="s">
        <v>418</v>
      </c>
      <c r="B360" s="247" t="e">
        <f>$C$323*((1.25*(D$306+D$308))+(1.5*D$309)+(1.35*D$307)+(1.75*(D$310+D$311)))</f>
        <v>#REF!</v>
      </c>
      <c r="C360" s="248" t="e">
        <f>D360/B360</f>
        <v>#REF!</v>
      </c>
      <c r="D360" s="249" t="e">
        <f>$C$323*((1.25*(F$306+F$308))+(1.5*F$309)+(1.35*F$307)+(1.75*(F$310+F$311))+(0.9*F$312)+(1.75*F$313)+(1.2*F$314)+(1.75*F$316))</f>
        <v>#REF!</v>
      </c>
      <c r="E360" s="249" t="e">
        <f>B360*($G$291-C360)</f>
        <v>#REF!</v>
      </c>
      <c r="F360" s="250" t="e">
        <f>($B360/$C$291)+(($E360*$I$289)/$C$293)</f>
        <v>#REF!</v>
      </c>
      <c r="G360" s="251" t="e">
        <f>($B360/$C$291)+(($E360*$I$290)/$C$293)</f>
        <v>#REF!</v>
      </c>
      <c r="N360" s="112">
        <f t="shared" si="6"/>
        <v>5</v>
      </c>
      <c r="O360" s="244" t="s">
        <v>375</v>
      </c>
      <c r="P360" s="245" t="s">
        <v>415</v>
      </c>
    </row>
    <row r="361" spans="1:16" ht="3" customHeight="1" x14ac:dyDescent="0.2">
      <c r="A361" s="246"/>
      <c r="B361" s="247"/>
      <c r="C361" s="248"/>
      <c r="D361" s="249"/>
      <c r="E361" s="249"/>
      <c r="F361" s="250"/>
      <c r="G361" s="251"/>
      <c r="N361" s="112">
        <f t="shared" si="6"/>
        <v>5.5</v>
      </c>
      <c r="O361" s="245"/>
      <c r="P361" s="245"/>
    </row>
    <row r="362" spans="1:16" x14ac:dyDescent="0.2">
      <c r="A362" s="246" t="s">
        <v>419</v>
      </c>
      <c r="B362" s="247" t="e">
        <f>$C$323*((1.25*(D$306+D$308))+(1.5*D$309)+(1.35*D$307)+(1.75*(D$310+D$311)))</f>
        <v>#REF!</v>
      </c>
      <c r="C362" s="248" t="e">
        <f>D362/B362</f>
        <v>#REF!</v>
      </c>
      <c r="D362" s="249" t="e">
        <f>$C$323*((1.25*(F$306+F$308))+(1.5*F$309)+(1.35*F$307)+(1.75*(F$310+F$311))+(0.9*F$312)+(1.75*F$313)-(1.2*F$314)-(1.75*F$316))</f>
        <v>#REF!</v>
      </c>
      <c r="E362" s="249" t="e">
        <f>B362*($G$291-C362)</f>
        <v>#REF!</v>
      </c>
      <c r="F362" s="250" t="e">
        <f>($B362/$C$291)+(($E362*$I$289)/$C$293)</f>
        <v>#REF!</v>
      </c>
      <c r="G362" s="251" t="e">
        <f>($B362/$C$291)+(($E362*$I$290)/$C$293)</f>
        <v>#REF!</v>
      </c>
      <c r="N362" s="112">
        <f t="shared" si="6"/>
        <v>6</v>
      </c>
      <c r="O362" s="244" t="s">
        <v>377</v>
      </c>
      <c r="P362" s="245" t="s">
        <v>417</v>
      </c>
    </row>
    <row r="363" spans="1:16" ht="3" customHeight="1" x14ac:dyDescent="0.2">
      <c r="A363" s="246"/>
      <c r="B363" s="247"/>
      <c r="C363" s="252"/>
      <c r="D363" s="249"/>
      <c r="E363" s="253"/>
      <c r="F363" s="247"/>
      <c r="G363" s="254"/>
      <c r="I363" s="119" t="s">
        <v>420</v>
      </c>
      <c r="J363" s="119" t="s">
        <v>421</v>
      </c>
      <c r="M363" s="135"/>
      <c r="N363" s="112">
        <f t="shared" si="6"/>
        <v>6.5</v>
      </c>
      <c r="O363" s="245"/>
      <c r="P363" s="245"/>
    </row>
    <row r="364" spans="1:16" x14ac:dyDescent="0.2">
      <c r="A364" s="246" t="s">
        <v>422</v>
      </c>
      <c r="B364" s="247" t="e">
        <f>$C$323*((0.9*(D$306+D$308))+(0.65*D$309)+(D$307)+(1.75*(D$310+D$311)))</f>
        <v>#REF!</v>
      </c>
      <c r="C364" s="248" t="e">
        <f>D364/B364</f>
        <v>#REF!</v>
      </c>
      <c r="D364" s="249" t="e">
        <f>$C$323*((0.9*(F$306+F$308))+(0.65*F$309)+(1*F$307)+(1.75*(F$310+$F311))+(1.35*F$312)+(1.2*F$315)+(1.75*F$317))</f>
        <v>#REF!</v>
      </c>
      <c r="E364" s="249" t="e">
        <f>B364*($G$291-C364)</f>
        <v>#REF!</v>
      </c>
      <c r="F364" s="250" t="e">
        <f>($B364/$C$291)+(($E364*$I$289)/$C$293)</f>
        <v>#REF!</v>
      </c>
      <c r="G364" s="251" t="e">
        <f>($B364/$C$291)+(($E364*$I$290)/$C$293)</f>
        <v>#REF!</v>
      </c>
      <c r="H364" s="114"/>
      <c r="M364" s="135"/>
      <c r="N364" s="112">
        <f t="shared" si="6"/>
        <v>7</v>
      </c>
      <c r="O364" s="244" t="s">
        <v>378</v>
      </c>
      <c r="P364" s="245" t="s">
        <v>423</v>
      </c>
    </row>
    <row r="365" spans="1:16" ht="3" customHeight="1" x14ac:dyDescent="0.2">
      <c r="A365" s="246"/>
      <c r="B365" s="247"/>
      <c r="C365" s="248"/>
      <c r="D365" s="249"/>
      <c r="E365" s="249"/>
      <c r="F365" s="250"/>
      <c r="G365" s="251"/>
      <c r="M365" s="135"/>
      <c r="N365" s="112">
        <f t="shared" si="6"/>
        <v>7.5</v>
      </c>
      <c r="O365" s="245"/>
      <c r="P365" s="245"/>
    </row>
    <row r="366" spans="1:16" x14ac:dyDescent="0.2">
      <c r="A366" s="246" t="s">
        <v>424</v>
      </c>
      <c r="B366" s="247" t="e">
        <f>$C$323*((0.9*(D$306+D$308))+(0.65*D$309)+(D$307)+(1.75*(D$310+D$311)))</f>
        <v>#REF!</v>
      </c>
      <c r="C366" s="248" t="e">
        <f>D366/B366</f>
        <v>#REF!</v>
      </c>
      <c r="D366" s="249" t="e">
        <f>$C$323*((0.9*(F$306+F$308))+(0.65*F$309)+(1*F$307)+(1.75*(F$310+$F311))+(1.35*F$312)-(1.2*F$315)-(1.75*F$317))</f>
        <v>#REF!</v>
      </c>
      <c r="E366" s="249" t="e">
        <f>B366*($G$291-C366)</f>
        <v>#REF!</v>
      </c>
      <c r="F366" s="250" t="e">
        <f>($B366/$C$291)+(($E366*$I$289)/$C$293)</f>
        <v>#REF!</v>
      </c>
      <c r="G366" s="251" t="e">
        <f>($B366/$C$291)+(($E366*$I$290)/$C$293)</f>
        <v>#REF!</v>
      </c>
      <c r="H366" s="114"/>
      <c r="M366" s="135"/>
      <c r="N366" s="112">
        <f t="shared" si="6"/>
        <v>8</v>
      </c>
      <c r="O366" s="244" t="s">
        <v>380</v>
      </c>
      <c r="P366" s="245" t="s">
        <v>425</v>
      </c>
    </row>
    <row r="367" spans="1:16" ht="3" customHeight="1" x14ac:dyDescent="0.2">
      <c r="A367" s="246"/>
      <c r="B367" s="247"/>
      <c r="C367" s="252"/>
      <c r="D367" s="249"/>
      <c r="E367" s="253"/>
      <c r="F367" s="247"/>
      <c r="G367" s="254"/>
      <c r="M367" s="135"/>
      <c r="N367" s="112">
        <f t="shared" si="6"/>
        <v>8.5</v>
      </c>
      <c r="O367" s="245"/>
      <c r="P367" s="245"/>
    </row>
    <row r="368" spans="1:16" x14ac:dyDescent="0.2">
      <c r="A368" s="246" t="s">
        <v>426</v>
      </c>
      <c r="B368" s="247" t="e">
        <f>B352</f>
        <v>#REF!</v>
      </c>
      <c r="C368" s="248" t="e">
        <f>D368/B368</f>
        <v>#REF!</v>
      </c>
      <c r="D368" s="249" t="e">
        <f>$C$323*((1.25*(F$306+F$308))+(1.5*F$309)+(1.35*F$307)+(1.75*(F$310+F$311))+(1.35*F$312)+(1.2*F$315)+(1.75*F$317))</f>
        <v>#REF!</v>
      </c>
      <c r="E368" s="249" t="e">
        <f>B368*($G$291-C368)</f>
        <v>#REF!</v>
      </c>
      <c r="F368" s="250" t="e">
        <f>($B368/$C$291)+(($E368*$I$289)/$C$293)</f>
        <v>#REF!</v>
      </c>
      <c r="G368" s="251" t="e">
        <f>($B368/$C$291)+(($E368*$I$290)/$C$293)</f>
        <v>#REF!</v>
      </c>
      <c r="I368" s="183"/>
      <c r="M368" s="135"/>
      <c r="N368" s="112">
        <f t="shared" si="6"/>
        <v>9</v>
      </c>
      <c r="O368" s="244" t="s">
        <v>382</v>
      </c>
      <c r="P368" s="245" t="s">
        <v>427</v>
      </c>
    </row>
    <row r="369" spans="1:17" ht="3" customHeight="1" x14ac:dyDescent="0.2">
      <c r="A369" s="246"/>
      <c r="B369" s="247"/>
      <c r="C369" s="252"/>
      <c r="D369" s="249"/>
      <c r="E369" s="253"/>
      <c r="F369" s="247"/>
      <c r="G369" s="254"/>
      <c r="I369" s="183"/>
      <c r="M369" s="135"/>
      <c r="N369" s="112">
        <f t="shared" si="6"/>
        <v>9.5</v>
      </c>
      <c r="O369" s="245"/>
      <c r="P369" s="245"/>
    </row>
    <row r="370" spans="1:17" x14ac:dyDescent="0.2">
      <c r="A370" s="246" t="s">
        <v>428</v>
      </c>
      <c r="B370" s="247" t="e">
        <f>B352</f>
        <v>#REF!</v>
      </c>
      <c r="C370" s="248" t="e">
        <f>D370/B370</f>
        <v>#REF!</v>
      </c>
      <c r="D370" s="249" t="e">
        <f>$C$323*((1.25*(F$306+F$308))+(1.5*F$309)+(1.35*F$307)+(1.75*(F$310+F$311))+(1.35*F$312)+(1.2*F$314)+(1.75*F$316))</f>
        <v>#REF!</v>
      </c>
      <c r="E370" s="249" t="e">
        <f>B370*($G$291-C370)</f>
        <v>#REF!</v>
      </c>
      <c r="F370" s="250" t="e">
        <f>($B370/$C$291)+(($E370*$I$289)/$C$293)</f>
        <v>#REF!</v>
      </c>
      <c r="G370" s="251" t="e">
        <f>($B370/$C$291)+(($E370*$I$290)/$C$293)</f>
        <v>#REF!</v>
      </c>
      <c r="I370" s="183"/>
      <c r="M370" s="135"/>
      <c r="N370" s="112">
        <f t="shared" si="6"/>
        <v>10</v>
      </c>
      <c r="O370" s="244" t="s">
        <v>384</v>
      </c>
      <c r="P370" s="245" t="s">
        <v>429</v>
      </c>
    </row>
    <row r="371" spans="1:17" ht="3" customHeight="1" x14ac:dyDescent="0.2">
      <c r="A371" s="246"/>
      <c r="B371" s="247"/>
      <c r="C371" s="248"/>
      <c r="D371" s="249"/>
      <c r="E371" s="249"/>
      <c r="F371" s="250"/>
      <c r="G371" s="251"/>
      <c r="I371" s="183"/>
      <c r="M371" s="135"/>
      <c r="N371" s="112">
        <f t="shared" si="6"/>
        <v>10.5</v>
      </c>
      <c r="O371" s="245"/>
      <c r="P371" s="245"/>
    </row>
    <row r="372" spans="1:17" x14ac:dyDescent="0.2">
      <c r="A372" s="246" t="s">
        <v>430</v>
      </c>
      <c r="B372" s="247" t="e">
        <f>B356</f>
        <v>#REF!</v>
      </c>
      <c r="C372" s="248" t="e">
        <f>D372/B372</f>
        <v>#REF!</v>
      </c>
      <c r="D372" s="249" t="e">
        <f>$C$323*((1.25*(F$306+F$308))+(1.5*F$309)+(1.35*F$307)+(1.75*F$310)+(1.35*F$312)+(1.75*F$313)+(1.2*F$314)+(1.75*F$316))</f>
        <v>#REF!</v>
      </c>
      <c r="E372" s="249" t="e">
        <f>B372*($G$291-C372)</f>
        <v>#REF!</v>
      </c>
      <c r="F372" s="250" t="e">
        <f>($B372/$C$291)+(($E372*$I$289)/$C$293)</f>
        <v>#REF!</v>
      </c>
      <c r="G372" s="251" t="e">
        <f>($B372/$C$291)+(($E372*$I$290)/$C$293)</f>
        <v>#REF!</v>
      </c>
      <c r="I372" s="183"/>
      <c r="M372" s="135"/>
      <c r="N372" s="112">
        <f t="shared" si="6"/>
        <v>11</v>
      </c>
      <c r="O372" s="244" t="s">
        <v>386</v>
      </c>
      <c r="P372" s="245" t="s">
        <v>431</v>
      </c>
    </row>
    <row r="373" spans="1:17" ht="3" customHeight="1" x14ac:dyDescent="0.2">
      <c r="A373" s="246"/>
      <c r="B373" s="247"/>
      <c r="C373" s="248"/>
      <c r="D373" s="249"/>
      <c r="E373" s="249"/>
      <c r="F373" s="250"/>
      <c r="G373" s="251"/>
      <c r="I373" s="183"/>
      <c r="M373" s="135"/>
      <c r="N373" s="112">
        <f t="shared" si="6"/>
        <v>11.5</v>
      </c>
      <c r="O373" s="245"/>
      <c r="P373" s="245"/>
    </row>
    <row r="374" spans="1:17" x14ac:dyDescent="0.2">
      <c r="A374" s="246" t="s">
        <v>432</v>
      </c>
      <c r="B374" s="247" t="e">
        <f>B356</f>
        <v>#REF!</v>
      </c>
      <c r="C374" s="248" t="e">
        <f>D374/B374</f>
        <v>#REF!</v>
      </c>
      <c r="D374" s="249" t="e">
        <f>$C$323*((1.25*(F$306+F$308))+(1.5*F$309)+(1.35*F$307)+(1.75*F$310)+(1.35*F$312)+(1.75*F$313)-(1.2*F$314)-(1.75*F$316))</f>
        <v>#REF!</v>
      </c>
      <c r="E374" s="249" t="e">
        <f>B374*($G$291-C374)</f>
        <v>#REF!</v>
      </c>
      <c r="F374" s="250" t="e">
        <f>($B374/$C$291)+(($E374*$I$289)/$C$293)</f>
        <v>#REF!</v>
      </c>
      <c r="G374" s="251" t="e">
        <f>($B374/$C$291)+(($E374*$I$290)/$C$293)</f>
        <v>#REF!</v>
      </c>
      <c r="I374" s="183"/>
      <c r="M374" s="135"/>
      <c r="N374" s="112">
        <f t="shared" si="6"/>
        <v>12</v>
      </c>
      <c r="O374" s="244" t="s">
        <v>388</v>
      </c>
      <c r="P374" s="245" t="s">
        <v>433</v>
      </c>
    </row>
    <row r="375" spans="1:17" ht="3" customHeight="1" x14ac:dyDescent="0.2">
      <c r="A375" s="246"/>
      <c r="B375" s="247"/>
      <c r="C375" s="248"/>
      <c r="D375" s="249"/>
      <c r="E375" s="249"/>
      <c r="F375" s="250"/>
      <c r="G375" s="251"/>
      <c r="I375" s="183"/>
      <c r="M375" s="135"/>
      <c r="N375" s="112">
        <f t="shared" si="6"/>
        <v>12.5</v>
      </c>
      <c r="O375" s="245"/>
      <c r="P375" s="245"/>
    </row>
    <row r="376" spans="1:17" x14ac:dyDescent="0.2">
      <c r="A376" s="246" t="s">
        <v>434</v>
      </c>
      <c r="B376" s="247" t="e">
        <f>B360</f>
        <v>#REF!</v>
      </c>
      <c r="C376" s="248" t="e">
        <f>D376/B376</f>
        <v>#REF!</v>
      </c>
      <c r="D376" s="249" t="e">
        <f>$C$323*((1.25*(F$306+F$308))+(1.5*F$309)+(1.35*F$307)+(1.75*(F$310+F$311))+(1.35*F$312)+(1.75*F$313)+(1.2*F$314)+(1.75*F$316))</f>
        <v>#REF!</v>
      </c>
      <c r="E376" s="249" t="e">
        <f>B376*($G$291-C376)</f>
        <v>#REF!</v>
      </c>
      <c r="F376" s="250" t="e">
        <f>($B376/$C$291)+(($E376*$I$289)/$C$293)</f>
        <v>#REF!</v>
      </c>
      <c r="G376" s="251" t="e">
        <f>($B376/$C$291)+(($E376*$I$290)/$C$293)</f>
        <v>#REF!</v>
      </c>
      <c r="I376" s="183"/>
      <c r="M376" s="135"/>
      <c r="N376" s="112">
        <f t="shared" si="6"/>
        <v>13</v>
      </c>
      <c r="O376" s="244" t="s">
        <v>390</v>
      </c>
      <c r="P376" s="245" t="s">
        <v>431</v>
      </c>
    </row>
    <row r="377" spans="1:17" ht="3" customHeight="1" x14ac:dyDescent="0.2">
      <c r="A377" s="246"/>
      <c r="B377" s="247"/>
      <c r="C377" s="248"/>
      <c r="D377" s="249"/>
      <c r="E377" s="249"/>
      <c r="F377" s="250"/>
      <c r="G377" s="251"/>
      <c r="I377" s="183"/>
      <c r="M377" s="135"/>
      <c r="N377" s="112">
        <f t="shared" si="6"/>
        <v>13.5</v>
      </c>
      <c r="O377" s="245"/>
      <c r="P377" s="245"/>
    </row>
    <row r="378" spans="1:17" ht="13.5" thickBot="1" x14ac:dyDescent="0.25">
      <c r="A378" s="255" t="s">
        <v>435</v>
      </c>
      <c r="B378" s="256" t="e">
        <f>B360</f>
        <v>#REF!</v>
      </c>
      <c r="C378" s="257" t="e">
        <f>D378/B378</f>
        <v>#REF!</v>
      </c>
      <c r="D378" s="258" t="e">
        <f>$C$323*((1.25*(F$306+F$308))+(1.5*F$309)+(1.35*F$307)+(1.75*(F$310+F$311))+(1.35*F$312)+(1.75*F$313)-(1.2*F$314)-(1.75*F$316))</f>
        <v>#REF!</v>
      </c>
      <c r="E378" s="258" t="e">
        <f>B378*($G$291-C378)</f>
        <v>#REF!</v>
      </c>
      <c r="F378" s="259" t="e">
        <f>($B378/$C$291)+(($E378*$I$289)/$C$293)</f>
        <v>#REF!</v>
      </c>
      <c r="G378" s="260" t="e">
        <f>($B378/$C$291)+(($E378*$I$290)/$C$293)</f>
        <v>#REF!</v>
      </c>
      <c r="I378" s="183"/>
      <c r="M378" s="135"/>
      <c r="N378" s="112">
        <f t="shared" si="6"/>
        <v>14</v>
      </c>
      <c r="O378" s="244" t="s">
        <v>391</v>
      </c>
      <c r="P378" s="245" t="s">
        <v>433</v>
      </c>
    </row>
    <row r="379" spans="1:17" x14ac:dyDescent="0.2">
      <c r="I379" s="183"/>
      <c r="M379" s="135"/>
      <c r="O379" s="245"/>
      <c r="P379" s="245"/>
    </row>
    <row r="380" spans="1:17" x14ac:dyDescent="0.2">
      <c r="I380" s="183"/>
      <c r="M380" s="135"/>
      <c r="O380" s="245"/>
      <c r="P380" s="245"/>
    </row>
    <row r="381" spans="1:17" ht="13.5" thickBot="1" x14ac:dyDescent="0.25">
      <c r="A381" s="717" t="s">
        <v>436</v>
      </c>
      <c r="B381" s="717"/>
      <c r="C381" s="717"/>
      <c r="D381" s="717"/>
      <c r="E381" s="717"/>
      <c r="F381" s="717"/>
      <c r="G381" s="717"/>
      <c r="I381" s="183"/>
      <c r="M381" s="135"/>
      <c r="O381" s="245"/>
      <c r="P381" s="245"/>
    </row>
    <row r="382" spans="1:17" ht="15.75" x14ac:dyDescent="0.3">
      <c r="A382" s="718" t="s">
        <v>402</v>
      </c>
      <c r="B382" s="715" t="s">
        <v>403</v>
      </c>
      <c r="C382" s="715" t="s">
        <v>404</v>
      </c>
      <c r="D382" s="715" t="s">
        <v>405</v>
      </c>
      <c r="E382" s="715" t="s">
        <v>406</v>
      </c>
      <c r="F382" s="715" t="s">
        <v>407</v>
      </c>
      <c r="G382" s="716"/>
      <c r="I382" s="183"/>
      <c r="M382" s="135"/>
      <c r="O382" s="245"/>
      <c r="P382" s="245"/>
    </row>
    <row r="383" spans="1:17" ht="13.5" thickBot="1" x14ac:dyDescent="0.25">
      <c r="A383" s="719"/>
      <c r="B383" s="720"/>
      <c r="C383" s="720"/>
      <c r="D383" s="720"/>
      <c r="E383" s="720"/>
      <c r="F383" s="261" t="s">
        <v>408</v>
      </c>
      <c r="G383" s="262" t="s">
        <v>409</v>
      </c>
      <c r="I383" s="183"/>
      <c r="M383" s="135"/>
      <c r="O383" s="245"/>
      <c r="P383" s="245"/>
    </row>
    <row r="384" spans="1:17" x14ac:dyDescent="0.2">
      <c r="A384" s="263" t="s">
        <v>410</v>
      </c>
      <c r="B384" s="264" t="e">
        <f>$C$323*((1.25*(H$306+H$308))+(1.5*H$309)+(1.35*H$307)+(1.75*(H$310+H$311)))</f>
        <v>#REF!</v>
      </c>
      <c r="C384" s="265" t="e">
        <f>D384/B384</f>
        <v>#REF!</v>
      </c>
      <c r="D384" s="266" t="e">
        <f>$C$323*((1.25*(J$306+J$308))+(1.5*J$309)+(1.35*J$307)+(1.75*(J$310+J$311))+(0.9*J$312)+(1.2*J$314)+(1.75*J$316))</f>
        <v>#REF!</v>
      </c>
      <c r="E384" s="266" t="e">
        <f>B384*($G$298-C384)</f>
        <v>#REF!</v>
      </c>
      <c r="F384" s="267" t="e">
        <f>($B384/$C$298)+(($E384*$I$296)/$C$300)</f>
        <v>#REF!</v>
      </c>
      <c r="G384" s="268" t="e">
        <f>($B384/$C$298)+(($E384*$I$297)/$C$300)</f>
        <v>#REF!</v>
      </c>
      <c r="I384" s="183"/>
      <c r="M384" s="135"/>
      <c r="N384" s="112">
        <v>1</v>
      </c>
      <c r="O384" s="244" t="s">
        <v>365</v>
      </c>
      <c r="P384" s="245" t="s">
        <v>411</v>
      </c>
      <c r="Q384" s="112" t="str">
        <f t="shared" ref="Q384:Q410" si="7">VLOOKUP(P352,$B$327:$K$340,10,0)</f>
        <v>LL on Appr. Slab w/ no LL Surch.</v>
      </c>
    </row>
    <row r="385" spans="1:17" ht="3" customHeight="1" x14ac:dyDescent="0.2">
      <c r="A385" s="246"/>
      <c r="B385" s="247"/>
      <c r="C385" s="248"/>
      <c r="D385" s="249"/>
      <c r="E385" s="249"/>
      <c r="F385" s="250"/>
      <c r="G385" s="251"/>
      <c r="I385" s="183"/>
      <c r="M385" s="135"/>
      <c r="N385" s="112">
        <f>N384+0.5</f>
        <v>1.5</v>
      </c>
      <c r="O385" s="245"/>
      <c r="P385" s="245"/>
      <c r="Q385" s="112" t="e">
        <f t="shared" si="7"/>
        <v>#N/A</v>
      </c>
    </row>
    <row r="386" spans="1:17" x14ac:dyDescent="0.2">
      <c r="A386" s="238" t="s">
        <v>412</v>
      </c>
      <c r="B386" s="247" t="e">
        <f>$C$323*((1.25*(H$306+H$308))+(1.5*H$309)+(1.35*H$307)+(1.75*(H$310+H$311)))</f>
        <v>#REF!</v>
      </c>
      <c r="C386" s="248" t="e">
        <f>D386/B386</f>
        <v>#REF!</v>
      </c>
      <c r="D386" s="249" t="e">
        <f>$C$323*((1.25*(J$306+J$308))+(1.5*J$309)+(1.35*J$307)+(1.75*(J$310+J$311))+(0.9*J$312)-(1.2*J$314)-(1.75*J$316))</f>
        <v>#REF!</v>
      </c>
      <c r="E386" s="249" t="e">
        <f>B386*($G$298-C386)</f>
        <v>#REF!</v>
      </c>
      <c r="F386" s="250" t="e">
        <f>($B386/$C$298)+(($E386*$I$296)/$C$300)</f>
        <v>#REF!</v>
      </c>
      <c r="G386" s="251" t="e">
        <f>($B386/$C$298)+(($E386*$I$297)/$C$300)</f>
        <v>#REF!</v>
      </c>
      <c r="I386" s="183"/>
      <c r="M386" s="135"/>
      <c r="N386" s="112">
        <f t="shared" ref="N386:N410" si="8">N385+0.5</f>
        <v>2</v>
      </c>
      <c r="O386" s="244" t="s">
        <v>368</v>
      </c>
      <c r="P386" s="245" t="s">
        <v>413</v>
      </c>
      <c r="Q386" s="112" t="str">
        <f t="shared" si="7"/>
        <v>LL on Appr. Slab w/ no LL Surch.</v>
      </c>
    </row>
    <row r="387" spans="1:17" ht="3" customHeight="1" x14ac:dyDescent="0.2">
      <c r="A387" s="246"/>
      <c r="B387" s="247"/>
      <c r="C387" s="248"/>
      <c r="D387" s="249"/>
      <c r="E387" s="249"/>
      <c r="F387" s="250"/>
      <c r="G387" s="251"/>
      <c r="I387" s="183"/>
      <c r="M387" s="135"/>
      <c r="N387" s="112">
        <f t="shared" si="8"/>
        <v>2.5</v>
      </c>
      <c r="O387" s="245"/>
      <c r="P387" s="245"/>
      <c r="Q387" s="112" t="e">
        <f t="shared" si="7"/>
        <v>#N/A</v>
      </c>
    </row>
    <row r="388" spans="1:17" x14ac:dyDescent="0.2">
      <c r="A388" s="246" t="s">
        <v>414</v>
      </c>
      <c r="B388" s="247" t="e">
        <f>$C$323*((1.25*(H$306+H$308))+(1.5*H$309)+(1.35*H$307)+(1.75*H$310))</f>
        <v>#REF!</v>
      </c>
      <c r="C388" s="248" t="e">
        <f>D388/B388</f>
        <v>#REF!</v>
      </c>
      <c r="D388" s="249" t="e">
        <f>$C$323*((1.25*(J$306+J$308))+(1.5*J$309)+(1.35*J$307)+(1.75*J$310)+(0.9*J$312)+(1.75*J$313)+(1.2*J$314)+(1.75*J$316))</f>
        <v>#REF!</v>
      </c>
      <c r="E388" s="249" t="e">
        <f>B388*($G$298-C388)</f>
        <v>#REF!</v>
      </c>
      <c r="F388" s="250" t="e">
        <f>($B388/$C$298)+(($E388*$I$296)/$C$300)</f>
        <v>#REF!</v>
      </c>
      <c r="G388" s="251" t="e">
        <f>($B388/$C$298)+(($E388*$I$297)/$C$300)</f>
        <v>#REF!</v>
      </c>
      <c r="I388" s="183"/>
      <c r="M388" s="135"/>
      <c r="N388" s="112">
        <f t="shared" si="8"/>
        <v>3</v>
      </c>
      <c r="O388" s="244" t="s">
        <v>370</v>
      </c>
      <c r="P388" s="245" t="s">
        <v>415</v>
      </c>
      <c r="Q388" s="112" t="str">
        <f t="shared" si="7"/>
        <v>No LL on Appr. Slab w/ LL Surch.</v>
      </c>
    </row>
    <row r="389" spans="1:17" ht="3" customHeight="1" x14ac:dyDescent="0.2">
      <c r="A389" s="246"/>
      <c r="B389" s="247"/>
      <c r="C389" s="248"/>
      <c r="D389" s="249"/>
      <c r="E389" s="249"/>
      <c r="F389" s="250"/>
      <c r="G389" s="251"/>
      <c r="I389" s="183"/>
      <c r="M389" s="135"/>
      <c r="N389" s="112">
        <f t="shared" si="8"/>
        <v>3.5</v>
      </c>
      <c r="O389" s="245"/>
      <c r="P389" s="245"/>
      <c r="Q389" s="112" t="e">
        <f t="shared" si="7"/>
        <v>#N/A</v>
      </c>
    </row>
    <row r="390" spans="1:17" x14ac:dyDescent="0.2">
      <c r="A390" s="246" t="s">
        <v>416</v>
      </c>
      <c r="B390" s="247" t="e">
        <f>$C$323*((1.25*(H$306+H$308))+(1.5*H$309)+(1.35*H$307)+(1.75*H$310))</f>
        <v>#REF!</v>
      </c>
      <c r="C390" s="248" t="e">
        <f>D390/B390</f>
        <v>#REF!</v>
      </c>
      <c r="D390" s="249" t="e">
        <f>$C$323*((1.25*(J$306+J$308))+(1.5*J$309)+(1.35*J$307)+(1.75*J$310)+(0.9*J$312)+(1.75*J$313)-(1.2*J$314)-(1.75*J$316))</f>
        <v>#REF!</v>
      </c>
      <c r="E390" s="249" t="e">
        <f>B390*($G$298-C390)</f>
        <v>#REF!</v>
      </c>
      <c r="F390" s="250" t="e">
        <f>($B390/$C$298)+(($E390*$I$296)/$C$300)</f>
        <v>#REF!</v>
      </c>
      <c r="G390" s="251" t="e">
        <f>($B390/$C$298)+(($E390*$I$297)/$C$300)</f>
        <v>#REF!</v>
      </c>
      <c r="I390" s="183"/>
      <c r="M390" s="135"/>
      <c r="N390" s="112">
        <f t="shared" si="8"/>
        <v>4</v>
      </c>
      <c r="O390" s="244" t="s">
        <v>373</v>
      </c>
      <c r="P390" s="245" t="s">
        <v>417</v>
      </c>
      <c r="Q390" s="112" t="str">
        <f t="shared" si="7"/>
        <v>No LL on Appr. Slab w/ LL Surch.</v>
      </c>
    </row>
    <row r="391" spans="1:17" ht="3" customHeight="1" x14ac:dyDescent="0.2">
      <c r="A391" s="246"/>
      <c r="B391" s="247"/>
      <c r="C391" s="248"/>
      <c r="D391" s="249"/>
      <c r="E391" s="249"/>
      <c r="F391" s="250"/>
      <c r="G391" s="251"/>
      <c r="I391" s="183"/>
      <c r="M391" s="135"/>
      <c r="N391" s="112">
        <f t="shared" si="8"/>
        <v>4.5</v>
      </c>
      <c r="O391" s="245"/>
      <c r="P391" s="245"/>
      <c r="Q391" s="112" t="e">
        <f t="shared" si="7"/>
        <v>#N/A</v>
      </c>
    </row>
    <row r="392" spans="1:17" x14ac:dyDescent="0.2">
      <c r="A392" s="246" t="s">
        <v>418</v>
      </c>
      <c r="B392" s="247" t="e">
        <f>$C$323*((1.25*(H$306+H$308))+(1.5*H$309)+(1.35*H$307)+(1.75*(H$310+H$311)))</f>
        <v>#REF!</v>
      </c>
      <c r="C392" s="248" t="e">
        <f>D392/B392</f>
        <v>#REF!</v>
      </c>
      <c r="D392" s="249" t="e">
        <f>$C$323*((1.25*(J$306+J$308))+(1.5*J$309)+(1.35*J$307)+(1.75*(J$310+J$311))+(0.9*J$312)+(1.75*J$313)+(1.2*J$314)+(1.75*J$316))</f>
        <v>#REF!</v>
      </c>
      <c r="E392" s="249" t="e">
        <f>B392*($G$298-C392)</f>
        <v>#REF!</v>
      </c>
      <c r="F392" s="250" t="e">
        <f>($B392/$C$298)+(($E392*$I$296)/$C$300)</f>
        <v>#REF!</v>
      </c>
      <c r="G392" s="251" t="e">
        <f>($B392/$C$298)+(($E392*$I$297)/$C$300)</f>
        <v>#REF!</v>
      </c>
      <c r="I392" s="183"/>
      <c r="M392" s="135"/>
      <c r="N392" s="112">
        <f t="shared" si="8"/>
        <v>5</v>
      </c>
      <c r="O392" s="244" t="s">
        <v>375</v>
      </c>
      <c r="P392" s="245" t="s">
        <v>415</v>
      </c>
      <c r="Q392" s="112" t="str">
        <f t="shared" si="7"/>
        <v>No LL on Appr. Slab w/ LL Surch.</v>
      </c>
    </row>
    <row r="393" spans="1:17" ht="3" customHeight="1" x14ac:dyDescent="0.2">
      <c r="A393" s="246"/>
      <c r="B393" s="247"/>
      <c r="C393" s="248"/>
      <c r="D393" s="249"/>
      <c r="E393" s="249"/>
      <c r="F393" s="250"/>
      <c r="G393" s="251"/>
      <c r="I393" s="183"/>
      <c r="M393" s="135"/>
      <c r="N393" s="112">
        <f t="shared" si="8"/>
        <v>5.5</v>
      </c>
      <c r="O393" s="245"/>
      <c r="P393" s="245"/>
      <c r="Q393" s="112" t="e">
        <f t="shared" si="7"/>
        <v>#N/A</v>
      </c>
    </row>
    <row r="394" spans="1:17" x14ac:dyDescent="0.2">
      <c r="A394" s="246" t="s">
        <v>419</v>
      </c>
      <c r="B394" s="247" t="e">
        <f>$C$323*((1.25*(H$306+H$308))+(1.5*H$309)+(1.35*H$307)+(1.75*(H$310+H$311)))</f>
        <v>#REF!</v>
      </c>
      <c r="C394" s="248" t="e">
        <f>D394/B394</f>
        <v>#REF!</v>
      </c>
      <c r="D394" s="249" t="e">
        <f>$C$323*((1.25*(J$306+J$308))+(1.5*J$309)+(1.35*J$307)+(1.75*(J$310+J$311))+(0.9*J$312)+(1.75*J$313)-(1.2*J$314)-(1.75*J$316))</f>
        <v>#REF!</v>
      </c>
      <c r="E394" s="249" t="e">
        <f>B394*($G$298-C394)</f>
        <v>#REF!</v>
      </c>
      <c r="F394" s="250" t="e">
        <f>($B394/$C$298)+(($E394*$I$296)/$C$300)</f>
        <v>#REF!</v>
      </c>
      <c r="G394" s="251" t="e">
        <f>($B394/$C$298)+(($E394*$I$297)/$C$300)</f>
        <v>#REF!</v>
      </c>
      <c r="I394" s="183"/>
      <c r="M394" s="135"/>
      <c r="N394" s="112">
        <f t="shared" si="8"/>
        <v>6</v>
      </c>
      <c r="O394" s="244" t="s">
        <v>377</v>
      </c>
      <c r="P394" s="245" t="s">
        <v>417</v>
      </c>
      <c r="Q394" s="112" t="str">
        <f t="shared" si="7"/>
        <v>No LL on Appr. Slab w/ LL Surch.</v>
      </c>
    </row>
    <row r="395" spans="1:17" ht="3" customHeight="1" x14ac:dyDescent="0.2">
      <c r="A395" s="246"/>
      <c r="B395" s="247"/>
      <c r="C395" s="269"/>
      <c r="D395" s="249"/>
      <c r="E395" s="253"/>
      <c r="F395" s="247"/>
      <c r="G395" s="254"/>
      <c r="I395" s="119" t="s">
        <v>420</v>
      </c>
      <c r="J395" s="119" t="s">
        <v>421</v>
      </c>
      <c r="M395" s="135"/>
      <c r="N395" s="112">
        <f t="shared" si="8"/>
        <v>6.5</v>
      </c>
      <c r="O395" s="245"/>
      <c r="P395" s="245"/>
      <c r="Q395" s="112" t="e">
        <f t="shared" si="7"/>
        <v>#N/A</v>
      </c>
    </row>
    <row r="396" spans="1:17" x14ac:dyDescent="0.2">
      <c r="A396" s="246" t="s">
        <v>422</v>
      </c>
      <c r="B396" s="247" t="e">
        <f>$C$323*((0.9*(H$306+H$308))+(0.65*H$309)+(H$307)+(1.75*(H$310+H$311)))</f>
        <v>#REF!</v>
      </c>
      <c r="C396" s="248" t="e">
        <f>D396/B396</f>
        <v>#REF!</v>
      </c>
      <c r="D396" s="249" t="e">
        <f>$C$323*((0.9*(J$306+J$308))+(0.65*J$309)+(1*J$307)+(1.75*(J$310+J$311))+(1.35*J$312)+(1.2*J$315)+(1.75*J$317))</f>
        <v>#REF!</v>
      </c>
      <c r="E396" s="249" t="e">
        <f>B396*($G$298-C396)</f>
        <v>#REF!</v>
      </c>
      <c r="F396" s="250" t="e">
        <f>($B396/$C$298)+(($E396*$I$296)/$C$300)</f>
        <v>#REF!</v>
      </c>
      <c r="G396" s="251" t="e">
        <f>($B396/$C$298)+(($E396*$I$297)/$C$300)</f>
        <v>#REF!</v>
      </c>
      <c r="H396" s="114"/>
      <c r="N396" s="112">
        <f t="shared" si="8"/>
        <v>7</v>
      </c>
      <c r="O396" s="244" t="s">
        <v>378</v>
      </c>
      <c r="P396" s="245" t="s">
        <v>423</v>
      </c>
      <c r="Q396" s="112" t="str">
        <f t="shared" si="7"/>
        <v>LL on Appr. Slab w/ no LL Surch.</v>
      </c>
    </row>
    <row r="397" spans="1:17" ht="3" customHeight="1" x14ac:dyDescent="0.2">
      <c r="A397" s="246"/>
      <c r="B397" s="247"/>
      <c r="C397" s="248"/>
      <c r="D397" s="249"/>
      <c r="E397" s="249"/>
      <c r="F397" s="250"/>
      <c r="G397" s="251"/>
      <c r="M397" s="135"/>
      <c r="N397" s="112">
        <f t="shared" si="8"/>
        <v>7.5</v>
      </c>
      <c r="O397" s="245"/>
      <c r="P397" s="245"/>
      <c r="Q397" s="112" t="e">
        <f t="shared" si="7"/>
        <v>#N/A</v>
      </c>
    </row>
    <row r="398" spans="1:17" x14ac:dyDescent="0.2">
      <c r="A398" s="246" t="s">
        <v>424</v>
      </c>
      <c r="B398" s="247" t="e">
        <f>$C$323*((0.9*(H$306+H$308))+(0.65*H$309)+(H$307)+(1.75*(H$310+H$311)))</f>
        <v>#REF!</v>
      </c>
      <c r="C398" s="248" t="e">
        <f>D398/B398</f>
        <v>#REF!</v>
      </c>
      <c r="D398" s="249" t="e">
        <f>$C$323*((0.9*(J$306+J$308))+(0.65*J$309)+(1*J$307)+(1.75*(J$310+J$311))+(1.35*J$312)-(1.2*J$315)-(1.75*J$317))</f>
        <v>#REF!</v>
      </c>
      <c r="E398" s="249" t="e">
        <f>B398*($G$298-C398)</f>
        <v>#REF!</v>
      </c>
      <c r="F398" s="250" t="e">
        <f>($B398/$C$298)+(($E398*$I$296)/$C$300)</f>
        <v>#REF!</v>
      </c>
      <c r="G398" s="251" t="e">
        <f>($B398/$C$298)+(($E398*$I$297)/$C$300)</f>
        <v>#REF!</v>
      </c>
      <c r="H398" s="114"/>
      <c r="M398" s="135"/>
      <c r="N398" s="112">
        <f t="shared" si="8"/>
        <v>8</v>
      </c>
      <c r="O398" s="244" t="s">
        <v>380</v>
      </c>
      <c r="P398" s="245" t="s">
        <v>425</v>
      </c>
      <c r="Q398" s="112" t="str">
        <f t="shared" si="7"/>
        <v>LL on Appr. Slab w/ no LL Surch.</v>
      </c>
    </row>
    <row r="399" spans="1:17" ht="3" customHeight="1" x14ac:dyDescent="0.2">
      <c r="A399" s="246"/>
      <c r="B399" s="247"/>
      <c r="C399" s="269"/>
      <c r="D399" s="249"/>
      <c r="E399" s="253"/>
      <c r="F399" s="247"/>
      <c r="G399" s="254"/>
      <c r="M399" s="135"/>
      <c r="N399" s="112">
        <f t="shared" si="8"/>
        <v>8.5</v>
      </c>
      <c r="O399" s="245"/>
      <c r="P399" s="245"/>
      <c r="Q399" s="112" t="e">
        <f t="shared" si="7"/>
        <v>#N/A</v>
      </c>
    </row>
    <row r="400" spans="1:17" x14ac:dyDescent="0.2">
      <c r="A400" s="246" t="s">
        <v>426</v>
      </c>
      <c r="B400" s="247" t="e">
        <f>B384</f>
        <v>#REF!</v>
      </c>
      <c r="C400" s="248" t="e">
        <f>D400/B400</f>
        <v>#REF!</v>
      </c>
      <c r="D400" s="249" t="e">
        <f>$C$323*((1.25*(J$306+J$308))+(1.5*J$309)+(1.35*J$307)+(1.75*(J$310+J$311))+(1.35*J$312)+(1.2*J$315)+(1.75*J$317))</f>
        <v>#REF!</v>
      </c>
      <c r="E400" s="249" t="e">
        <f>B400*($G$298-C400)</f>
        <v>#REF!</v>
      </c>
      <c r="F400" s="250" t="e">
        <f>($B400/$C$298)+(($E400*$I$296)/$C$300)</f>
        <v>#REF!</v>
      </c>
      <c r="G400" s="251" t="e">
        <f>($B400/$C$298)+(($E400*$I$297)/$C$300)</f>
        <v>#REF!</v>
      </c>
      <c r="I400" s="183"/>
      <c r="M400" s="270"/>
      <c r="N400" s="112">
        <f t="shared" si="8"/>
        <v>9</v>
      </c>
      <c r="O400" s="244" t="s">
        <v>382</v>
      </c>
      <c r="P400" s="245" t="s">
        <v>427</v>
      </c>
      <c r="Q400" s="112" t="str">
        <f t="shared" si="7"/>
        <v>LL on Appr. Slab w/ no LL Surch.</v>
      </c>
    </row>
    <row r="401" spans="1:17" ht="3" customHeight="1" x14ac:dyDescent="0.2">
      <c r="A401" s="246"/>
      <c r="B401" s="247"/>
      <c r="C401" s="269"/>
      <c r="D401" s="249"/>
      <c r="E401" s="253"/>
      <c r="F401" s="247"/>
      <c r="G401" s="254"/>
      <c r="M401" s="135"/>
      <c r="N401" s="112">
        <f t="shared" si="8"/>
        <v>9.5</v>
      </c>
      <c r="O401" s="245"/>
      <c r="P401" s="245"/>
      <c r="Q401" s="112" t="e">
        <f t="shared" si="7"/>
        <v>#N/A</v>
      </c>
    </row>
    <row r="402" spans="1:17" x14ac:dyDescent="0.2">
      <c r="A402" s="246" t="s">
        <v>428</v>
      </c>
      <c r="B402" s="247" t="e">
        <f>B384</f>
        <v>#REF!</v>
      </c>
      <c r="C402" s="248" t="e">
        <f>D402/B402</f>
        <v>#REF!</v>
      </c>
      <c r="D402" s="249" t="e">
        <f>$C$323*((1.25*(J$306+J$308))+(1.5*J$309)+(1.35*J$307)+(1.75*(J$310+J$311))+(1.35*J$312)+(1.2*J$314)+(1.75*J$316))</f>
        <v>#REF!</v>
      </c>
      <c r="E402" s="249" t="e">
        <f>B402*($G$298-C402)</f>
        <v>#REF!</v>
      </c>
      <c r="F402" s="250" t="e">
        <f>($B402/$C$298)+(($E402*$I$296)/$C$300)</f>
        <v>#REF!</v>
      </c>
      <c r="G402" s="251" t="e">
        <f>($B402/$C$298)+(($E402*$I$297)/$C$300)</f>
        <v>#REF!</v>
      </c>
      <c r="M402" s="135"/>
      <c r="N402" s="112">
        <f t="shared" si="8"/>
        <v>10</v>
      </c>
      <c r="O402" s="244" t="s">
        <v>384</v>
      </c>
      <c r="P402" s="245" t="s">
        <v>429</v>
      </c>
      <c r="Q402" s="112" t="str">
        <f t="shared" si="7"/>
        <v>LL on Appr. Slab w/ no LL Surch.</v>
      </c>
    </row>
    <row r="403" spans="1:17" ht="3" customHeight="1" x14ac:dyDescent="0.2">
      <c r="A403" s="246"/>
      <c r="B403" s="247"/>
      <c r="C403" s="248"/>
      <c r="D403" s="249"/>
      <c r="E403" s="249"/>
      <c r="F403" s="250"/>
      <c r="G403" s="251"/>
      <c r="M403" s="135"/>
      <c r="N403" s="112">
        <f t="shared" si="8"/>
        <v>10.5</v>
      </c>
      <c r="O403" s="245"/>
      <c r="P403" s="245"/>
      <c r="Q403" s="112" t="e">
        <f t="shared" si="7"/>
        <v>#N/A</v>
      </c>
    </row>
    <row r="404" spans="1:17" x14ac:dyDescent="0.2">
      <c r="A404" s="246" t="s">
        <v>430</v>
      </c>
      <c r="B404" s="247" t="e">
        <f t="shared" ref="B404" si="9">B388</f>
        <v>#REF!</v>
      </c>
      <c r="C404" s="248" t="e">
        <f t="shared" ref="C404" si="10">D404/B404</f>
        <v>#REF!</v>
      </c>
      <c r="D404" s="249" t="e">
        <f>$C$323*((1.25*(J$306+J$308))+(1.5*J$309)+(1.35*J$307)+(1.75*J$310)+(1.35*J$312)+(1.75*J$313)+(1.2*J$314)+(1.75*J$316))</f>
        <v>#REF!</v>
      </c>
      <c r="E404" s="249" t="e">
        <f t="shared" ref="E404" si="11">B404*($G$298-C404)</f>
        <v>#REF!</v>
      </c>
      <c r="F404" s="250" t="e">
        <f t="shared" ref="F404" si="12">($B404/$C$298)+(($E404*$I$296)/$C$300)</f>
        <v>#REF!</v>
      </c>
      <c r="G404" s="251" t="e">
        <f t="shared" ref="G404" si="13">($B404/$C$298)+(($E404*$I$297)/$C$300)</f>
        <v>#REF!</v>
      </c>
      <c r="M404" s="135"/>
      <c r="N404" s="112">
        <f t="shared" si="8"/>
        <v>11</v>
      </c>
      <c r="O404" s="244" t="s">
        <v>386</v>
      </c>
      <c r="P404" s="245" t="s">
        <v>431</v>
      </c>
      <c r="Q404" s="112" t="str">
        <f t="shared" si="7"/>
        <v>No LL on Appr. Slab w/ LL Surch.</v>
      </c>
    </row>
    <row r="405" spans="1:17" ht="3" customHeight="1" x14ac:dyDescent="0.2">
      <c r="A405" s="246"/>
      <c r="B405" s="247"/>
      <c r="C405" s="248"/>
      <c r="D405" s="249"/>
      <c r="E405" s="249"/>
      <c r="F405" s="250"/>
      <c r="G405" s="251"/>
      <c r="M405" s="135"/>
      <c r="N405" s="112">
        <f t="shared" si="8"/>
        <v>11.5</v>
      </c>
      <c r="O405" s="245"/>
      <c r="P405" s="245"/>
      <c r="Q405" s="112" t="e">
        <f t="shared" si="7"/>
        <v>#N/A</v>
      </c>
    </row>
    <row r="406" spans="1:17" x14ac:dyDescent="0.2">
      <c r="A406" s="246" t="s">
        <v>432</v>
      </c>
      <c r="B406" s="247" t="e">
        <f>B388</f>
        <v>#REF!</v>
      </c>
      <c r="C406" s="248" t="e">
        <f>D406/B406</f>
        <v>#REF!</v>
      </c>
      <c r="D406" s="249" t="e">
        <f>$C$323*((1.25*(J$306+J$308))+(1.5*J$309)+(1.35*J$307)+(1.75*J$310)+(1.35*J$312)+(1.75*J$313)-(1.2*J$314)-(1.75*J$316))</f>
        <v>#REF!</v>
      </c>
      <c r="E406" s="249" t="e">
        <f>B406*($G$298-C406)</f>
        <v>#REF!</v>
      </c>
      <c r="F406" s="250" t="e">
        <f>($B406/$C$298)+(($E406*$I$296)/$C$300)</f>
        <v>#REF!</v>
      </c>
      <c r="G406" s="251" t="e">
        <f>($B406/$C$298)+(($E406*$I$297)/$C$300)</f>
        <v>#REF!</v>
      </c>
      <c r="M406" s="135"/>
      <c r="N406" s="112">
        <f t="shared" si="8"/>
        <v>12</v>
      </c>
      <c r="O406" s="244" t="s">
        <v>388</v>
      </c>
      <c r="P406" s="245" t="s">
        <v>433</v>
      </c>
      <c r="Q406" s="112" t="str">
        <f t="shared" si="7"/>
        <v>No LL on Appr. Slab w/ LL Surch.</v>
      </c>
    </row>
    <row r="407" spans="1:17" ht="3" customHeight="1" x14ac:dyDescent="0.2">
      <c r="A407" s="246"/>
      <c r="B407" s="247"/>
      <c r="C407" s="248"/>
      <c r="D407" s="249"/>
      <c r="E407" s="249"/>
      <c r="F407" s="250"/>
      <c r="G407" s="251"/>
      <c r="M407" s="135"/>
      <c r="N407" s="112">
        <f t="shared" si="8"/>
        <v>12.5</v>
      </c>
      <c r="O407" s="245"/>
      <c r="P407" s="245"/>
      <c r="Q407" s="112" t="e">
        <f t="shared" si="7"/>
        <v>#N/A</v>
      </c>
    </row>
    <row r="408" spans="1:17" x14ac:dyDescent="0.2">
      <c r="A408" s="246" t="s">
        <v>434</v>
      </c>
      <c r="B408" s="247" t="e">
        <f t="shared" ref="B408" si="14">B392</f>
        <v>#REF!</v>
      </c>
      <c r="C408" s="248" t="e">
        <f t="shared" ref="C408" si="15">D408/B408</f>
        <v>#REF!</v>
      </c>
      <c r="D408" s="249" t="e">
        <f>$C$323*((1.25*(J$306+J$308))+(1.5*J$309)+(1.35*J$307)+(1.75*(J$310+J$311))+(1.35*J$312)+(1.75*J$313)+(1.2*J$314)+(1.75*J$316))</f>
        <v>#REF!</v>
      </c>
      <c r="E408" s="249" t="e">
        <f t="shared" ref="E408" si="16">B408*($G$298-C408)</f>
        <v>#REF!</v>
      </c>
      <c r="F408" s="250" t="e">
        <f t="shared" ref="F408" si="17">($B408/$C$298)+(($E408*$I$296)/$C$300)</f>
        <v>#REF!</v>
      </c>
      <c r="G408" s="251" t="e">
        <f t="shared" ref="G408" si="18">($B408/$C$298)+(($E408*$I$297)/$C$300)</f>
        <v>#REF!</v>
      </c>
      <c r="N408" s="112">
        <f t="shared" si="8"/>
        <v>13</v>
      </c>
      <c r="O408" s="244" t="s">
        <v>390</v>
      </c>
      <c r="P408" s="245" t="s">
        <v>431</v>
      </c>
      <c r="Q408" s="112" t="str">
        <f t="shared" si="7"/>
        <v>No LL on Appr. Slab w/ LL Surch.</v>
      </c>
    </row>
    <row r="409" spans="1:17" ht="3" customHeight="1" x14ac:dyDescent="0.2">
      <c r="A409" s="246"/>
      <c r="B409" s="247"/>
      <c r="C409" s="248"/>
      <c r="D409" s="249"/>
      <c r="E409" s="249"/>
      <c r="F409" s="250"/>
      <c r="G409" s="251"/>
      <c r="N409" s="112">
        <f t="shared" si="8"/>
        <v>13.5</v>
      </c>
      <c r="O409" s="245"/>
      <c r="P409" s="245"/>
      <c r="Q409" s="112" t="e">
        <f t="shared" si="7"/>
        <v>#N/A</v>
      </c>
    </row>
    <row r="410" spans="1:17" ht="13.5" thickBot="1" x14ac:dyDescent="0.25">
      <c r="A410" s="255" t="s">
        <v>435</v>
      </c>
      <c r="B410" s="256" t="e">
        <f>B392</f>
        <v>#REF!</v>
      </c>
      <c r="C410" s="257" t="e">
        <f>D410/B410</f>
        <v>#REF!</v>
      </c>
      <c r="D410" s="258" t="e">
        <f>$C$323*((1.25*(J$306+J$308))+(1.5*J$309)+(1.35*J$307)+(1.75*(J$310+J$311))+(1.35*J$312)+(1.75*J$313)-(1.2*J$314)-(1.75*J$316))</f>
        <v>#REF!</v>
      </c>
      <c r="E410" s="258" t="e">
        <f>B410*($G$298-C410)</f>
        <v>#REF!</v>
      </c>
      <c r="F410" s="259" t="e">
        <f>($B410/$C$298)+(($E410*$I$296)/$C$300)</f>
        <v>#REF!</v>
      </c>
      <c r="G410" s="260" t="e">
        <f>($B410/$C$298)+(($E410*$I$297)/$C$300)</f>
        <v>#REF!</v>
      </c>
      <c r="N410" s="112">
        <f t="shared" si="8"/>
        <v>14</v>
      </c>
      <c r="O410" s="244" t="s">
        <v>391</v>
      </c>
      <c r="P410" s="245" t="s">
        <v>433</v>
      </c>
      <c r="Q410" s="112" t="str">
        <f t="shared" si="7"/>
        <v>No LL on Appr. Slab w/ LL Surch.</v>
      </c>
    </row>
    <row r="412" spans="1:17" ht="13.5" thickBot="1" x14ac:dyDescent="0.25">
      <c r="A412" s="706" t="s">
        <v>437</v>
      </c>
      <c r="B412" s="706"/>
      <c r="C412" s="706"/>
      <c r="D412" s="706"/>
      <c r="E412" s="706"/>
      <c r="F412" s="706"/>
      <c r="G412" s="706"/>
    </row>
    <row r="413" spans="1:17" ht="13.5" thickBot="1" x14ac:dyDescent="0.25">
      <c r="A413" s="271" t="s">
        <v>438</v>
      </c>
      <c r="B413" s="272" t="s">
        <v>230</v>
      </c>
      <c r="C413" s="272" t="s">
        <v>439</v>
      </c>
      <c r="D413" s="272" t="s">
        <v>440</v>
      </c>
      <c r="E413" s="272" t="s">
        <v>441</v>
      </c>
      <c r="F413" s="707" t="s">
        <v>442</v>
      </c>
      <c r="G413" s="707"/>
      <c r="H413" s="708"/>
      <c r="I413" s="273"/>
      <c r="J413" s="273"/>
      <c r="K413" s="273"/>
      <c r="L413" s="273"/>
      <c r="M413" s="273"/>
    </row>
    <row r="414" spans="1:17" x14ac:dyDescent="0.2">
      <c r="A414" s="709" t="s">
        <v>443</v>
      </c>
      <c r="B414" s="711" t="s">
        <v>109</v>
      </c>
      <c r="C414" s="274" t="s">
        <v>420</v>
      </c>
      <c r="D414" s="242" t="e">
        <f>MAX(F352:F378)</f>
        <v>#REF!</v>
      </c>
      <c r="E414" s="274" t="e">
        <f>VLOOKUP(D414,$F$352:$N$378,9,0)</f>
        <v>#REF!</v>
      </c>
      <c r="F414" s="275" t="e">
        <f>VLOOKUP(E414,$N$384:$Q$410,4,0)</f>
        <v>#REF!</v>
      </c>
      <c r="G414" s="276"/>
      <c r="H414" s="277"/>
      <c r="I414" s="278"/>
      <c r="J414" s="278"/>
      <c r="K414" s="278"/>
      <c r="L414" s="278"/>
      <c r="M414" s="279"/>
    </row>
    <row r="415" spans="1:17" x14ac:dyDescent="0.2">
      <c r="A415" s="710"/>
      <c r="B415" s="712"/>
      <c r="C415" s="280" t="s">
        <v>421</v>
      </c>
      <c r="D415" s="250" t="e">
        <f>MAX(G352:G378)</f>
        <v>#REF!</v>
      </c>
      <c r="E415" s="280" t="e">
        <f>VLOOKUP(D415,$G$352:$N$378,8,0)</f>
        <v>#REF!</v>
      </c>
      <c r="F415" s="281" t="e">
        <f t="shared" ref="F415:F421" si="19">VLOOKUP(E415,$N$384:$Q$410,4,0)</f>
        <v>#REF!</v>
      </c>
      <c r="G415" s="282"/>
      <c r="H415" s="283"/>
      <c r="I415" s="284"/>
      <c r="J415" s="284"/>
      <c r="K415" s="284"/>
      <c r="L415" s="284"/>
      <c r="M415" s="284"/>
    </row>
    <row r="416" spans="1:17" x14ac:dyDescent="0.2">
      <c r="A416" s="710"/>
      <c r="B416" s="712" t="s">
        <v>110</v>
      </c>
      <c r="C416" s="280" t="s">
        <v>420</v>
      </c>
      <c r="D416" s="250" t="e">
        <f>MIN(F352:F378)</f>
        <v>#REF!</v>
      </c>
      <c r="E416" s="280" t="e">
        <f t="shared" ref="E416" si="20">VLOOKUP(D416,$F$352:$N$378,9,0)</f>
        <v>#REF!</v>
      </c>
      <c r="F416" s="281" t="e">
        <f t="shared" si="19"/>
        <v>#REF!</v>
      </c>
      <c r="G416" s="282"/>
      <c r="H416" s="283"/>
      <c r="I416" s="284"/>
      <c r="J416" s="284"/>
      <c r="K416" s="284"/>
      <c r="L416" s="284"/>
      <c r="M416" s="284"/>
    </row>
    <row r="417" spans="1:13" x14ac:dyDescent="0.2">
      <c r="A417" s="710"/>
      <c r="B417" s="712"/>
      <c r="C417" s="280" t="s">
        <v>421</v>
      </c>
      <c r="D417" s="250" t="e">
        <f>MIN(G352:G378)</f>
        <v>#REF!</v>
      </c>
      <c r="E417" s="280" t="e">
        <f>VLOOKUP(D417,$G$352:$N$378,8,0)</f>
        <v>#REF!</v>
      </c>
      <c r="F417" s="281" t="e">
        <f t="shared" si="19"/>
        <v>#REF!</v>
      </c>
      <c r="G417" s="282"/>
      <c r="H417" s="283"/>
      <c r="I417" s="284"/>
      <c r="J417" s="284"/>
      <c r="K417" s="284"/>
      <c r="L417" s="284"/>
      <c r="M417" s="284"/>
    </row>
    <row r="418" spans="1:13" x14ac:dyDescent="0.2">
      <c r="A418" s="710" t="s">
        <v>444</v>
      </c>
      <c r="B418" s="712" t="s">
        <v>109</v>
      </c>
      <c r="C418" s="280" t="s">
        <v>420</v>
      </c>
      <c r="D418" s="250" t="e">
        <f>MAX(F384:F410)</f>
        <v>#REF!</v>
      </c>
      <c r="E418" s="280" t="e">
        <f>VLOOKUP(D418,$F$384:$N$410,9,0)</f>
        <v>#REF!</v>
      </c>
      <c r="F418" s="281" t="e">
        <f t="shared" si="19"/>
        <v>#REF!</v>
      </c>
      <c r="G418" s="282"/>
      <c r="H418" s="283"/>
      <c r="I418" s="284"/>
      <c r="J418" s="284"/>
      <c r="K418" s="284"/>
      <c r="L418" s="284"/>
      <c r="M418" s="284"/>
    </row>
    <row r="419" spans="1:13" x14ac:dyDescent="0.2">
      <c r="A419" s="710"/>
      <c r="B419" s="712"/>
      <c r="C419" s="280" t="s">
        <v>421</v>
      </c>
      <c r="D419" s="250" t="e">
        <f>MAX(G384:G410)</f>
        <v>#REF!</v>
      </c>
      <c r="E419" s="280" t="e">
        <f>VLOOKUP(D419,$G$384:$N$410,8,0)</f>
        <v>#REF!</v>
      </c>
      <c r="F419" s="281" t="e">
        <f t="shared" si="19"/>
        <v>#REF!</v>
      </c>
      <c r="G419" s="282"/>
      <c r="H419" s="283"/>
      <c r="I419" s="284"/>
      <c r="J419" s="284"/>
      <c r="K419" s="284"/>
      <c r="L419" s="284"/>
      <c r="M419" s="284"/>
    </row>
    <row r="420" spans="1:13" x14ac:dyDescent="0.2">
      <c r="A420" s="710"/>
      <c r="B420" s="712" t="s">
        <v>110</v>
      </c>
      <c r="C420" s="280" t="s">
        <v>420</v>
      </c>
      <c r="D420" s="250" t="e">
        <f>MIN(F384:F410)</f>
        <v>#REF!</v>
      </c>
      <c r="E420" s="280" t="e">
        <f>VLOOKUP(D420,$F$384:$N$410,9,0)</f>
        <v>#REF!</v>
      </c>
      <c r="F420" s="281" t="e">
        <f t="shared" si="19"/>
        <v>#REF!</v>
      </c>
      <c r="G420" s="282"/>
      <c r="H420" s="283"/>
      <c r="I420" s="284"/>
      <c r="J420" s="284"/>
      <c r="K420" s="284"/>
      <c r="L420" s="284"/>
      <c r="M420" s="284"/>
    </row>
    <row r="421" spans="1:13" ht="13.5" thickBot="1" x14ac:dyDescent="0.25">
      <c r="A421" s="713"/>
      <c r="B421" s="714"/>
      <c r="C421" s="285" t="s">
        <v>421</v>
      </c>
      <c r="D421" s="259" t="e">
        <f>MIN(G384:G410)</f>
        <v>#REF!</v>
      </c>
      <c r="E421" s="285" t="e">
        <f>VLOOKUP(D421,$G$384:$N$410,8,0)</f>
        <v>#REF!</v>
      </c>
      <c r="F421" s="286" t="e">
        <f t="shared" si="19"/>
        <v>#REF!</v>
      </c>
      <c r="G421" s="287"/>
      <c r="H421" s="288"/>
      <c r="I421" s="284"/>
      <c r="J421" s="284"/>
      <c r="K421" s="284"/>
      <c r="L421" s="284"/>
      <c r="M421" s="284"/>
    </row>
  </sheetData>
  <mergeCells count="185">
    <mergeCell ref="A1:J1"/>
    <mergeCell ref="A2:E2"/>
    <mergeCell ref="A3:E3"/>
    <mergeCell ref="A4:J4"/>
    <mergeCell ref="A6:G7"/>
    <mergeCell ref="H6:H7"/>
    <mergeCell ref="I6:I7"/>
    <mergeCell ref="C100:D100"/>
    <mergeCell ref="E100:F100"/>
    <mergeCell ref="G100:H100"/>
    <mergeCell ref="C101:D101"/>
    <mergeCell ref="E101:F101"/>
    <mergeCell ref="G101:H101"/>
    <mergeCell ref="A8:G8"/>
    <mergeCell ref="E79:H79"/>
    <mergeCell ref="E80:F80"/>
    <mergeCell ref="G80:H80"/>
    <mergeCell ref="B97:D97"/>
    <mergeCell ref="E97:F99"/>
    <mergeCell ref="G97:H99"/>
    <mergeCell ref="B98:B99"/>
    <mergeCell ref="C98:D99"/>
    <mergeCell ref="B104:D104"/>
    <mergeCell ref="E104:F104"/>
    <mergeCell ref="G104:H104"/>
    <mergeCell ref="B106:D106"/>
    <mergeCell ref="E106:F108"/>
    <mergeCell ref="G106:H108"/>
    <mergeCell ref="B107:B108"/>
    <mergeCell ref="C107:D108"/>
    <mergeCell ref="C102:D102"/>
    <mergeCell ref="E102:F102"/>
    <mergeCell ref="G102:H102"/>
    <mergeCell ref="C103:D103"/>
    <mergeCell ref="E103:F103"/>
    <mergeCell ref="G103:H103"/>
    <mergeCell ref="C111:D111"/>
    <mergeCell ref="E111:F111"/>
    <mergeCell ref="G111:H111"/>
    <mergeCell ref="C112:D112"/>
    <mergeCell ref="E112:F112"/>
    <mergeCell ref="G112:H112"/>
    <mergeCell ref="C109:D109"/>
    <mergeCell ref="E109:F109"/>
    <mergeCell ref="G109:H109"/>
    <mergeCell ref="C110:D110"/>
    <mergeCell ref="E110:F110"/>
    <mergeCell ref="G110:H110"/>
    <mergeCell ref="B119:D119"/>
    <mergeCell ref="E119:F119"/>
    <mergeCell ref="G119:H119"/>
    <mergeCell ref="B120:D120"/>
    <mergeCell ref="E120:F120"/>
    <mergeCell ref="G120:H120"/>
    <mergeCell ref="B113:D113"/>
    <mergeCell ref="E113:F113"/>
    <mergeCell ref="G113:H113"/>
    <mergeCell ref="A118:D118"/>
    <mergeCell ref="E118:F118"/>
    <mergeCell ref="G118:H118"/>
    <mergeCell ref="B123:D123"/>
    <mergeCell ref="E123:F123"/>
    <mergeCell ref="G123:H123"/>
    <mergeCell ref="B124:D124"/>
    <mergeCell ref="E124:F124"/>
    <mergeCell ref="G124:H124"/>
    <mergeCell ref="B121:D121"/>
    <mergeCell ref="E121:F121"/>
    <mergeCell ref="G121:H121"/>
    <mergeCell ref="B122:D122"/>
    <mergeCell ref="E122:F122"/>
    <mergeCell ref="G122:H122"/>
    <mergeCell ref="A130:B131"/>
    <mergeCell ref="C130:D131"/>
    <mergeCell ref="E130:F130"/>
    <mergeCell ref="G130:H130"/>
    <mergeCell ref="A132:B132"/>
    <mergeCell ref="A133:B133"/>
    <mergeCell ref="B125:D125"/>
    <mergeCell ref="E125:F125"/>
    <mergeCell ref="G125:H125"/>
    <mergeCell ref="B126:D126"/>
    <mergeCell ref="E126:F126"/>
    <mergeCell ref="G126:H126"/>
    <mergeCell ref="B184:C184"/>
    <mergeCell ref="B185:C185"/>
    <mergeCell ref="A204:I206"/>
    <mergeCell ref="A208:E208"/>
    <mergeCell ref="F208:G208"/>
    <mergeCell ref="H208:I208"/>
    <mergeCell ref="A134:B134"/>
    <mergeCell ref="A135:B135"/>
    <mergeCell ref="A136:B136"/>
    <mergeCell ref="A137:B137"/>
    <mergeCell ref="B182:C182"/>
    <mergeCell ref="B183:C183"/>
    <mergeCell ref="F212:G212"/>
    <mergeCell ref="H212:I212"/>
    <mergeCell ref="A221:E221"/>
    <mergeCell ref="F221:G221"/>
    <mergeCell ref="H221:I221"/>
    <mergeCell ref="A222:E222"/>
    <mergeCell ref="F222:G222"/>
    <mergeCell ref="H222:I222"/>
    <mergeCell ref="A209:E209"/>
    <mergeCell ref="F209:G209"/>
    <mergeCell ref="H209:I209"/>
    <mergeCell ref="A210:E210"/>
    <mergeCell ref="F210:G210"/>
    <mergeCell ref="H210:I210"/>
    <mergeCell ref="C242:D242"/>
    <mergeCell ref="E242:F242"/>
    <mergeCell ref="C243:D243"/>
    <mergeCell ref="E243:F243"/>
    <mergeCell ref="C244:D244"/>
    <mergeCell ref="E244:F244"/>
    <mergeCell ref="F224:G224"/>
    <mergeCell ref="B238:D238"/>
    <mergeCell ref="E238:F240"/>
    <mergeCell ref="B239:B240"/>
    <mergeCell ref="C239:D240"/>
    <mergeCell ref="C241:D241"/>
    <mergeCell ref="E241:F241"/>
    <mergeCell ref="F252:G252"/>
    <mergeCell ref="A256:C257"/>
    <mergeCell ref="D256:E257"/>
    <mergeCell ref="F256:F257"/>
    <mergeCell ref="G256:H256"/>
    <mergeCell ref="I256:J256"/>
    <mergeCell ref="B245:D245"/>
    <mergeCell ref="E245:F245"/>
    <mergeCell ref="A249:E249"/>
    <mergeCell ref="F249:G249"/>
    <mergeCell ref="H249:I249"/>
    <mergeCell ref="A250:E250"/>
    <mergeCell ref="F250:G250"/>
    <mergeCell ref="H250:I250"/>
    <mergeCell ref="G304:J304"/>
    <mergeCell ref="C305:D305"/>
    <mergeCell ref="E305:F305"/>
    <mergeCell ref="G305:H305"/>
    <mergeCell ref="I305:J305"/>
    <mergeCell ref="A271:D271"/>
    <mergeCell ref="A273:I274"/>
    <mergeCell ref="A258:C258"/>
    <mergeCell ref="A259:C259"/>
    <mergeCell ref="A260:C260"/>
    <mergeCell ref="A261:C261"/>
    <mergeCell ref="A262:C262"/>
    <mergeCell ref="A270:D270"/>
    <mergeCell ref="A306:B306"/>
    <mergeCell ref="A307:B307"/>
    <mergeCell ref="A308:B308"/>
    <mergeCell ref="A309:B309"/>
    <mergeCell ref="A310:B310"/>
    <mergeCell ref="A311:B311"/>
    <mergeCell ref="A281:B282"/>
    <mergeCell ref="A304:B305"/>
    <mergeCell ref="C304:F304"/>
    <mergeCell ref="A312:B312"/>
    <mergeCell ref="A313:B313"/>
    <mergeCell ref="A314:B315"/>
    <mergeCell ref="A316:B317"/>
    <mergeCell ref="A349:G349"/>
    <mergeCell ref="A350:A351"/>
    <mergeCell ref="B350:B351"/>
    <mergeCell ref="C350:C351"/>
    <mergeCell ref="D350:D351"/>
    <mergeCell ref="E350:E351"/>
    <mergeCell ref="A412:G412"/>
    <mergeCell ref="F413:H413"/>
    <mergeCell ref="A414:A417"/>
    <mergeCell ref="B414:B415"/>
    <mergeCell ref="B416:B417"/>
    <mergeCell ref="A418:A421"/>
    <mergeCell ref="B418:B419"/>
    <mergeCell ref="B420:B421"/>
    <mergeCell ref="F350:G350"/>
    <mergeCell ref="A381:G381"/>
    <mergeCell ref="A382:A383"/>
    <mergeCell ref="B382:B383"/>
    <mergeCell ref="C382:C383"/>
    <mergeCell ref="D382:D383"/>
    <mergeCell ref="E382:E383"/>
    <mergeCell ref="F382:G382"/>
  </mergeCells>
  <pageMargins left="0.7" right="0.7" top="0.75" bottom="0.75" header="0.3" footer="0.3"/>
  <pageSetup scale="64" fitToHeight="47" orientation="portrait"/>
  <headerFooter>
    <oddFooter>&amp;L&amp;D&amp;R&amp;P of &amp;N</oddFooter>
  </headerFooter>
  <rowBreaks count="5" manualBreakCount="5">
    <brk id="76" max="12" man="1"/>
    <brk id="138" max="12" man="1"/>
    <brk id="213" max="12" man="1"/>
    <brk id="287" max="12" man="1"/>
    <brk id="347" max="12" man="1"/>
  </rowBreaks>
  <colBreaks count="1" manualBreakCount="1">
    <brk id="13" max="1048575" man="1"/>
  </colBreaks>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375AE5F3025C74F921DC98DC6769110" ma:contentTypeVersion="0" ma:contentTypeDescription="Create a new document." ma:contentTypeScope="" ma:versionID="f0ebc2f58c133446e674d39a64b19265">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7E7F0D7-2DA4-483D-B732-5543E88F86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C36E3D6D-A9DF-4DF9-960C-C207F7273157}">
  <ds:schemaRefs>
    <ds:schemaRef ds:uri="http://schemas.microsoft.com/sharepoint/v3/contenttype/forms"/>
  </ds:schemaRefs>
</ds:datastoreItem>
</file>

<file path=customXml/itemProps3.xml><?xml version="1.0" encoding="utf-8"?>
<ds:datastoreItem xmlns:ds="http://schemas.openxmlformats.org/officeDocument/2006/customXml" ds:itemID="{EED8B69E-77AF-4F96-BD23-E84F563EF930}">
  <ds:schemaRefs>
    <ds:schemaRef ds:uri="http://purl.org/dc/dcmitype/"/>
    <ds:schemaRef ds:uri="http://schemas.microsoft.com/office/2006/metadata/properties"/>
    <ds:schemaRef ds:uri="http://purl.org/dc/elements/1.1/"/>
    <ds:schemaRef ds:uri="http://schemas.microsoft.com/office/2006/documentManagement/types"/>
    <ds:schemaRef ds:uri="http://purl.org/dc/terms/"/>
    <ds:schemaRef ds:uri="http://www.w3.org/XML/1998/namespace"/>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Estimate</vt:lpstr>
      <vt:lpstr>Quantities</vt:lpstr>
      <vt:lpstr>Rdwy Geometry</vt:lpstr>
      <vt:lpstr>Camber</vt:lpstr>
      <vt:lpstr>Topping Thickness</vt:lpstr>
      <vt:lpstr>Slab Elevations (linked)</vt:lpstr>
      <vt:lpstr>Alt 1 - Abutment Pile Loads</vt:lpstr>
      <vt:lpstr>'Alt 1 - Abutment Pile Loads'!Print_Area</vt:lpstr>
      <vt:lpstr>Estimate!Print_Area</vt:lpstr>
      <vt:lpstr>Quantities!Print_Area</vt:lpstr>
      <vt:lpstr>'Rdwy Geometry'!Print_Area</vt:lpstr>
    </vt:vector>
  </TitlesOfParts>
  <Company>CH2M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 Stachler</dc:creator>
  <cp:lastModifiedBy>Vincent K. Nganga</cp:lastModifiedBy>
  <cp:lastPrinted>2015-01-21T22:36:08Z</cp:lastPrinted>
  <dcterms:created xsi:type="dcterms:W3CDTF">2008-03-24T17:10:42Z</dcterms:created>
  <dcterms:modified xsi:type="dcterms:W3CDTF">2015-02-02T13:59:37Z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0x0101005375AE5F3025C74F921DC98DC6769110</vt:lpwstr>
  </property>
</Properties>
</file>